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19"/>
  <workbookPr hidePivotFieldList="1" defaultThemeVersion="166925"/>
  <mc:AlternateContent xmlns:mc="http://schemas.openxmlformats.org/markup-compatibility/2006">
    <mc:Choice Requires="x15">
      <x15ac:absPath xmlns:x15ac="http://schemas.microsoft.com/office/spreadsheetml/2010/11/ac" url="https://anac.sharepoint.com/sites/GTOP/Documentos Compartilhados/General/2. MPRs/Artefatos de inspeção CERTOP e VIGILÂNCIA/Checklists de inspeção/"/>
    </mc:Choice>
  </mc:AlternateContent>
  <xr:revisionPtr revIDLastSave="4" documentId="13_ncr:1_{9097F879-C212-4187-9AF6-DB4C17B62AC4}" xr6:coauthVersionLast="47" xr6:coauthVersionMax="47" xr10:uidLastSave="{64190351-1B46-4EC6-8EC3-AA0CB47E1FF0}"/>
  <bookViews>
    <workbookView xWindow="-110" yWindow="-110" windowWidth="19420" windowHeight="10300" tabRatio="856" firstSheet="1" activeTab="1" xr2:uid="{4DC82708-FA27-4BD8-84DB-B9A698C0140E}"/>
  </bookViews>
  <sheets>
    <sheet name="Orientações" sheetId="16" r:id="rId1"/>
    <sheet name="DOCS OPS" sheetId="7" r:id="rId2"/>
    <sheet name="DOCS OPS Final" sheetId="15" r:id="rId3"/>
    <sheet name="Listas" sheetId="6" state="hidden" r:id="rId4"/>
  </sheets>
  <definedNames>
    <definedName name="_xlnm._FilterDatabase" localSheetId="1" hidden="1">'DOCS OPS'!$C$18:$S$139</definedName>
    <definedName name="_Hlk85077714" localSheetId="1">'DOCS OPS'!#REF!</definedName>
    <definedName name="_xlnm.Print_Area" localSheetId="1">'DOCS OPS'!$A$1:$U$258</definedName>
    <definedName name="_xlnm.Print_Area" localSheetId="2">'DOCS OPS Final'!$B$1:$K$52</definedName>
    <definedName name="_xlnm.Print_Area" localSheetId="0">Orientações!$A$1:$D$36</definedName>
    <definedName name="Z_D37F1B69_6CE7_4A90_8559_8AE519A5C1EC_.wvu.Cols" localSheetId="1" hidden="1">'DOCS OPS'!$D:$D,'DOCS OPS'!$G:$G,'DOCS OPS'!$W:$W</definedName>
    <definedName name="Z_D37F1B69_6CE7_4A90_8559_8AE519A5C1EC_.wvu.Cols" localSheetId="2" hidden="1">'DOCS OPS Final'!#REF!</definedName>
    <definedName name="Z_D37F1B69_6CE7_4A90_8559_8AE519A5C1EC_.wvu.FilterData" localSheetId="1" hidden="1">'DOCS OPS'!$C$18:$S$139</definedName>
    <definedName name="Z_D37F1B69_6CE7_4A90_8559_8AE519A5C1EC_.wvu.PrintArea" localSheetId="1" hidden="1">'DOCS OPS'!$A$10:$T$259</definedName>
    <definedName name="Z_D37F1B69_6CE7_4A90_8559_8AE519A5C1EC_.wvu.PrintArea" localSheetId="2" hidden="1">'DOCS OPS Final'!$A$1:$M$83</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9" i="15" l="1"/>
  <c r="G10" i="15"/>
  <c r="G9" i="15"/>
  <c r="F10" i="15"/>
  <c r="F9" i="15"/>
  <c r="O225" i="7"/>
  <c r="O119" i="7"/>
  <c r="O103" i="7"/>
  <c r="O51" i="7"/>
  <c r="W222" i="7"/>
  <c r="R222" i="7"/>
  <c r="Q222" i="7"/>
  <c r="W113" i="7"/>
  <c r="R113" i="7"/>
  <c r="Q113" i="7"/>
  <c r="W100" i="7"/>
  <c r="R100" i="7"/>
  <c r="Q100" i="7"/>
  <c r="O58" i="7"/>
  <c r="N10" i="15" s="1"/>
  <c r="W56" i="7"/>
  <c r="R56" i="7"/>
  <c r="Q56" i="7"/>
  <c r="W55" i="7"/>
  <c r="R55" i="7"/>
  <c r="Q55" i="7"/>
  <c r="W54" i="7"/>
  <c r="R54" i="7"/>
  <c r="Q54" i="7"/>
  <c r="W44" i="7"/>
  <c r="R44" i="7" s="1"/>
  <c r="Q44" i="7"/>
  <c r="Q45" i="7"/>
  <c r="W45" i="7"/>
  <c r="R45" i="7" s="1"/>
  <c r="G28" i="15"/>
  <c r="F28" i="15"/>
  <c r="G27" i="15"/>
  <c r="F27" i="15"/>
  <c r="G26" i="15"/>
  <c r="F26" i="15"/>
  <c r="O251" i="7"/>
  <c r="O218" i="7"/>
  <c r="W223" i="7"/>
  <c r="R223" i="7" s="1"/>
  <c r="Q223" i="7"/>
  <c r="W221" i="7"/>
  <c r="R221" i="7" s="1"/>
  <c r="Q221" i="7"/>
  <c r="W216" i="7"/>
  <c r="R216" i="7" s="1"/>
  <c r="Q216" i="7"/>
  <c r="W215" i="7"/>
  <c r="R215" i="7"/>
  <c r="Q215" i="7"/>
  <c r="W214" i="7"/>
  <c r="R214" i="7" s="1"/>
  <c r="Q214" i="7"/>
  <c r="W213" i="7"/>
  <c r="R213" i="7" s="1"/>
  <c r="Q213" i="7"/>
  <c r="W212" i="7"/>
  <c r="R212" i="7"/>
  <c r="Q212" i="7"/>
  <c r="O209" i="7"/>
  <c r="W207" i="7"/>
  <c r="R207" i="7" s="1"/>
  <c r="Q207" i="7"/>
  <c r="W206" i="7"/>
  <c r="R206" i="7"/>
  <c r="Q206" i="7"/>
  <c r="W205" i="7"/>
  <c r="R205" i="7" s="1"/>
  <c r="Q205" i="7"/>
  <c r="W204" i="7"/>
  <c r="R204" i="7"/>
  <c r="Q204" i="7"/>
  <c r="W203" i="7"/>
  <c r="R203" i="7"/>
  <c r="Q203" i="7"/>
  <c r="W202" i="7"/>
  <c r="R202" i="7"/>
  <c r="Q202" i="7"/>
  <c r="W201" i="7"/>
  <c r="R201" i="7" s="1"/>
  <c r="Q201" i="7"/>
  <c r="O198" i="7"/>
  <c r="R57" i="7" l="1"/>
  <c r="R58" i="7" s="1"/>
  <c r="P58" i="7" s="1"/>
  <c r="H10" i="15" s="1"/>
  <c r="R224" i="7"/>
  <c r="N27" i="15"/>
  <c r="N26" i="15"/>
  <c r="N28" i="15"/>
  <c r="R208" i="7"/>
  <c r="R209" i="7" s="1"/>
  <c r="P209" i="7" s="1"/>
  <c r="H26" i="15" s="1"/>
  <c r="R217" i="7"/>
  <c r="R225" i="7" l="1"/>
  <c r="P225" i="7" s="1"/>
  <c r="H28" i="15" s="1"/>
  <c r="R218" i="7"/>
  <c r="P218" i="7" s="1"/>
  <c r="H27" i="15" s="1"/>
  <c r="Q193" i="7" l="1"/>
  <c r="R193" i="7"/>
  <c r="W193" i="7"/>
  <c r="W187" i="7"/>
  <c r="R187" i="7"/>
  <c r="Q187" i="7"/>
  <c r="O152" i="7"/>
  <c r="O109" i="7"/>
  <c r="W96" i="7"/>
  <c r="R96" i="7"/>
  <c r="Q96" i="7"/>
  <c r="W95" i="7"/>
  <c r="R95" i="7"/>
  <c r="Q95" i="7"/>
  <c r="W97" i="7"/>
  <c r="R97" i="7" s="1"/>
  <c r="Q97" i="7"/>
  <c r="W94" i="7"/>
  <c r="R94" i="7" s="1"/>
  <c r="Q94" i="7"/>
  <c r="G8" i="15"/>
  <c r="F8" i="15"/>
  <c r="W49" i="7"/>
  <c r="R49" i="7" s="1"/>
  <c r="Q49" i="7"/>
  <c r="W48" i="7"/>
  <c r="R48" i="7" s="1"/>
  <c r="Q48" i="7"/>
  <c r="W47" i="7"/>
  <c r="R47" i="7" s="1"/>
  <c r="Q47" i="7"/>
  <c r="W46" i="7"/>
  <c r="R46" i="7" s="1"/>
  <c r="Q46" i="7"/>
  <c r="W43" i="7"/>
  <c r="R43" i="7" s="1"/>
  <c r="Q43" i="7"/>
  <c r="W42" i="7"/>
  <c r="R42" i="7" s="1"/>
  <c r="Q42" i="7"/>
  <c r="Q65" i="7"/>
  <c r="W65" i="7"/>
  <c r="R65" i="7" s="1"/>
  <c r="Q66" i="7"/>
  <c r="R66" i="7"/>
  <c r="W66" i="7"/>
  <c r="Q67" i="7"/>
  <c r="R67" i="7"/>
  <c r="W67" i="7"/>
  <c r="Q68" i="7"/>
  <c r="W68" i="7"/>
  <c r="R68" i="7" s="1"/>
  <c r="Q69" i="7"/>
  <c r="R69" i="7"/>
  <c r="W69" i="7"/>
  <c r="O39" i="7"/>
  <c r="W32" i="7"/>
  <c r="R32" i="7" s="1"/>
  <c r="Q32" i="7"/>
  <c r="Q33" i="7"/>
  <c r="W33" i="7"/>
  <c r="R33" i="7" s="1"/>
  <c r="Q25" i="7"/>
  <c r="R25" i="7"/>
  <c r="W25" i="7"/>
  <c r="N8" i="15" l="1"/>
  <c r="R50" i="7"/>
  <c r="R51" i="7" l="1"/>
  <c r="P51" i="7" s="1"/>
  <c r="H9" i="15" s="1"/>
  <c r="W255" i="7"/>
  <c r="R255" i="7" s="1"/>
  <c r="W254" i="7"/>
  <c r="R254" i="7"/>
  <c r="W249" i="7"/>
  <c r="R249" i="7"/>
  <c r="W248" i="7"/>
  <c r="R248" i="7"/>
  <c r="W247" i="7"/>
  <c r="R247" i="7"/>
  <c r="W246" i="7"/>
  <c r="R246" i="7"/>
  <c r="W245" i="7"/>
  <c r="R245" i="7"/>
  <c r="W244" i="7"/>
  <c r="R244" i="7"/>
  <c r="W239" i="7"/>
  <c r="R239" i="7" s="1"/>
  <c r="W238" i="7"/>
  <c r="R238" i="7"/>
  <c r="W237" i="7"/>
  <c r="R237" i="7"/>
  <c r="W236" i="7"/>
  <c r="R236" i="7"/>
  <c r="W235" i="7"/>
  <c r="R235" i="7"/>
  <c r="W234" i="7"/>
  <c r="R234" i="7"/>
  <c r="W233" i="7"/>
  <c r="R233" i="7"/>
  <c r="W232" i="7"/>
  <c r="R232" i="7"/>
  <c r="W196" i="7"/>
  <c r="R196" i="7" s="1"/>
  <c r="W195" i="7"/>
  <c r="R195" i="7"/>
  <c r="W194" i="7"/>
  <c r="R194" i="7" s="1"/>
  <c r="W192" i="7"/>
  <c r="R192" i="7" s="1"/>
  <c r="W191" i="7"/>
  <c r="R191" i="7" s="1"/>
  <c r="W190" i="7"/>
  <c r="R190" i="7"/>
  <c r="W189" i="7"/>
  <c r="R189" i="7"/>
  <c r="W188" i="7"/>
  <c r="R188" i="7" s="1"/>
  <c r="W178" i="7"/>
  <c r="R178" i="7" s="1"/>
  <c r="W177" i="7"/>
  <c r="R177" i="7"/>
  <c r="W176" i="7"/>
  <c r="R176" i="7" s="1"/>
  <c r="W175" i="7"/>
  <c r="R175" i="7" s="1"/>
  <c r="W174" i="7"/>
  <c r="R174" i="7" s="1"/>
  <c r="W173" i="7"/>
  <c r="R173" i="7" s="1"/>
  <c r="W172" i="7"/>
  <c r="R172" i="7" s="1"/>
  <c r="W171" i="7"/>
  <c r="R171" i="7" s="1"/>
  <c r="W170" i="7"/>
  <c r="R170" i="7"/>
  <c r="W169" i="7"/>
  <c r="R169" i="7" s="1"/>
  <c r="W168" i="7"/>
  <c r="R168" i="7" s="1"/>
  <c r="W167" i="7"/>
  <c r="R167" i="7" s="1"/>
  <c r="W162" i="7"/>
  <c r="R162" i="7" s="1"/>
  <c r="W161" i="7"/>
  <c r="R161" i="7"/>
  <c r="W160" i="7"/>
  <c r="R160" i="7"/>
  <c r="W159" i="7"/>
  <c r="R159" i="7"/>
  <c r="W158" i="7"/>
  <c r="R158" i="7"/>
  <c r="W157" i="7"/>
  <c r="R157" i="7"/>
  <c r="W156" i="7"/>
  <c r="R156" i="7"/>
  <c r="W155" i="7"/>
  <c r="R155" i="7"/>
  <c r="W150" i="7"/>
  <c r="R150" i="7" s="1"/>
  <c r="W149" i="7"/>
  <c r="R149" i="7"/>
  <c r="W144" i="7"/>
  <c r="R144" i="7" s="1"/>
  <c r="W143" i="7"/>
  <c r="R143" i="7" s="1"/>
  <c r="W142" i="7"/>
  <c r="R142" i="7"/>
  <c r="W137" i="7"/>
  <c r="R137" i="7" s="1"/>
  <c r="W136" i="7"/>
  <c r="R136" i="7" s="1"/>
  <c r="W131" i="7"/>
  <c r="R131" i="7"/>
  <c r="W130" i="7"/>
  <c r="R130" i="7"/>
  <c r="W129" i="7"/>
  <c r="R129" i="7"/>
  <c r="W128" i="7"/>
  <c r="R128" i="7"/>
  <c r="W127" i="7"/>
  <c r="R127" i="7"/>
  <c r="W126" i="7"/>
  <c r="R126" i="7"/>
  <c r="W117" i="7"/>
  <c r="R117" i="7"/>
  <c r="W116" i="7"/>
  <c r="R116" i="7" s="1"/>
  <c r="W115" i="7"/>
  <c r="R115" i="7" s="1"/>
  <c r="W114" i="7"/>
  <c r="R114" i="7"/>
  <c r="W112" i="7"/>
  <c r="R112" i="7" s="1"/>
  <c r="W107" i="7"/>
  <c r="R107" i="7" s="1"/>
  <c r="W106" i="7"/>
  <c r="R106" i="7"/>
  <c r="W101" i="7"/>
  <c r="R101" i="7"/>
  <c r="W99" i="7"/>
  <c r="R99" i="7"/>
  <c r="W98" i="7"/>
  <c r="R98" i="7" s="1"/>
  <c r="W85" i="7"/>
  <c r="R85" i="7"/>
  <c r="W84" i="7"/>
  <c r="R84" i="7"/>
  <c r="W83" i="7"/>
  <c r="R83" i="7"/>
  <c r="W82" i="7"/>
  <c r="R82" i="7" s="1"/>
  <c r="W81" i="7"/>
  <c r="R81" i="7"/>
  <c r="W80" i="7"/>
  <c r="R80" i="7"/>
  <c r="W79" i="7"/>
  <c r="R79" i="7"/>
  <c r="W78" i="7"/>
  <c r="R78" i="7" s="1"/>
  <c r="W77" i="7"/>
  <c r="R77" i="7" s="1"/>
  <c r="W76" i="7"/>
  <c r="R76" i="7"/>
  <c r="W75" i="7"/>
  <c r="R75" i="7"/>
  <c r="W74" i="7"/>
  <c r="R74" i="7"/>
  <c r="W73" i="7"/>
  <c r="R73" i="7" s="1"/>
  <c r="W72" i="7"/>
  <c r="R72" i="7"/>
  <c r="W71" i="7"/>
  <c r="R71" i="7"/>
  <c r="W70" i="7"/>
  <c r="R70" i="7"/>
  <c r="W37" i="7"/>
  <c r="R37" i="7" s="1"/>
  <c r="W36" i="7"/>
  <c r="R36" i="7"/>
  <c r="W35" i="7"/>
  <c r="R35" i="7" s="1"/>
  <c r="W34" i="7"/>
  <c r="R34" i="7" s="1"/>
  <c r="W31" i="7"/>
  <c r="R31" i="7" s="1"/>
  <c r="W26" i="7"/>
  <c r="R26" i="7" s="1"/>
  <c r="W24" i="7"/>
  <c r="R24" i="7" s="1"/>
  <c r="W23" i="7"/>
  <c r="R23" i="7"/>
  <c r="W22" i="7"/>
  <c r="R22" i="7" s="1"/>
  <c r="W21" i="7"/>
  <c r="R21" i="7" s="1"/>
  <c r="W20" i="7"/>
  <c r="R20" i="7" s="1"/>
  <c r="W19" i="7"/>
  <c r="R19" i="7"/>
  <c r="W18" i="7"/>
  <c r="R18" i="7" s="1"/>
  <c r="W17" i="7"/>
  <c r="R17" i="7" s="1"/>
  <c r="W16" i="7"/>
  <c r="R16" i="7" s="1"/>
  <c r="O241" i="7"/>
  <c r="O164" i="7"/>
  <c r="R102" i="7" l="1"/>
  <c r="R103" i="7" s="1"/>
  <c r="R197" i="7"/>
  <c r="R198" i="7" s="1"/>
  <c r="R118" i="7"/>
  <c r="R119" i="7" s="1"/>
  <c r="R108" i="7"/>
  <c r="R109" i="7" s="1"/>
  <c r="O28" i="7"/>
  <c r="N7" i="15" s="1"/>
  <c r="Q248" i="7"/>
  <c r="Q196" i="7"/>
  <c r="Q161" i="7"/>
  <c r="Q99" i="7"/>
  <c r="G24" i="15" l="1"/>
  <c r="G32" i="15" l="1"/>
  <c r="G31" i="15"/>
  <c r="G30" i="15"/>
  <c r="G29" i="15"/>
  <c r="G25" i="15"/>
  <c r="G23" i="15"/>
  <c r="G22" i="15"/>
  <c r="G21" i="15"/>
  <c r="G20" i="15"/>
  <c r="G19" i="15"/>
  <c r="G18" i="15"/>
  <c r="G17" i="15"/>
  <c r="G16" i="15"/>
  <c r="G15" i="15"/>
  <c r="G14" i="15"/>
  <c r="G13" i="15"/>
  <c r="G12" i="15"/>
  <c r="G11" i="15"/>
  <c r="G7" i="15"/>
  <c r="G6" i="15"/>
  <c r="Q189" i="7"/>
  <c r="Q190" i="7"/>
  <c r="Q238" i="7" l="1"/>
  <c r="O87" i="7"/>
  <c r="Q71" i="7" l="1"/>
  <c r="Q72" i="7"/>
  <c r="Q73" i="7"/>
  <c r="Q74" i="7"/>
  <c r="Q75" i="7"/>
  <c r="Q76" i="7"/>
  <c r="Q77" i="7"/>
  <c r="Q78" i="7"/>
  <c r="Q79" i="7"/>
  <c r="Q80" i="7"/>
  <c r="Q37" i="7" l="1"/>
  <c r="Q36" i="7"/>
  <c r="Q35" i="7"/>
  <c r="Q34" i="7"/>
  <c r="Q31" i="7"/>
  <c r="R38" i="7" l="1"/>
  <c r="R39" i="7" s="1"/>
  <c r="P39" i="7" l="1"/>
  <c r="H8" i="15" s="1"/>
  <c r="O133" i="7" l="1"/>
  <c r="F32" i="15"/>
  <c r="F31" i="15"/>
  <c r="F30" i="15"/>
  <c r="F29" i="15"/>
  <c r="N29" i="15" s="1"/>
  <c r="F25" i="15"/>
  <c r="F24" i="15"/>
  <c r="N24" i="15" s="1"/>
  <c r="F23" i="15"/>
  <c r="F22" i="15"/>
  <c r="F21" i="15"/>
  <c r="F20" i="15"/>
  <c r="F19" i="15"/>
  <c r="F18" i="15"/>
  <c r="F17" i="15"/>
  <c r="F16" i="15"/>
  <c r="F15" i="15"/>
  <c r="F14" i="15"/>
  <c r="F13" i="15"/>
  <c r="N13" i="15" s="1"/>
  <c r="F12" i="15"/>
  <c r="N12" i="15" s="1"/>
  <c r="F11" i="15"/>
  <c r="N11" i="15" s="1"/>
  <c r="F7" i="15"/>
  <c r="F6" i="15"/>
  <c r="N6" i="15" s="1"/>
  <c r="N17" i="15" l="1"/>
  <c r="N18" i="15"/>
  <c r="O257" i="7" l="1"/>
  <c r="Q255" i="7"/>
  <c r="Q254" i="7"/>
  <c r="Q249" i="7"/>
  <c r="Q247" i="7"/>
  <c r="Q246" i="7"/>
  <c r="Q245" i="7"/>
  <c r="Q244" i="7"/>
  <c r="Q239" i="7"/>
  <c r="Q237" i="7"/>
  <c r="Q236" i="7"/>
  <c r="Q235" i="7"/>
  <c r="Q234" i="7"/>
  <c r="Q233" i="7"/>
  <c r="Q232" i="7"/>
  <c r="Q188" i="7"/>
  <c r="Q191" i="7"/>
  <c r="Q192" i="7"/>
  <c r="Q195" i="7"/>
  <c r="Q194" i="7"/>
  <c r="O180" i="7"/>
  <c r="Q178" i="7"/>
  <c r="Q177" i="7"/>
  <c r="Q176" i="7"/>
  <c r="Q175" i="7"/>
  <c r="Q174" i="7"/>
  <c r="Q173" i="7"/>
  <c r="Q172" i="7"/>
  <c r="Q171" i="7"/>
  <c r="Q170" i="7"/>
  <c r="Q169" i="7"/>
  <c r="Q168" i="7"/>
  <c r="Q167" i="7"/>
  <c r="Q162" i="7"/>
  <c r="Q160" i="7"/>
  <c r="Q159" i="7"/>
  <c r="Q158" i="7"/>
  <c r="Q157" i="7"/>
  <c r="Q156" i="7"/>
  <c r="Q155" i="7"/>
  <c r="Q150" i="7"/>
  <c r="Q149" i="7"/>
  <c r="O146" i="7"/>
  <c r="Q144" i="7"/>
  <c r="Q143" i="7"/>
  <c r="Q142" i="7"/>
  <c r="O139" i="7"/>
  <c r="Q137" i="7"/>
  <c r="Q136" i="7"/>
  <c r="Q131" i="7"/>
  <c r="Q130" i="7"/>
  <c r="Q129" i="7"/>
  <c r="Q128" i="7"/>
  <c r="Q127" i="7"/>
  <c r="Q126" i="7"/>
  <c r="Q117" i="7"/>
  <c r="Q116" i="7"/>
  <c r="Q115" i="7"/>
  <c r="Q114" i="7"/>
  <c r="Q112" i="7"/>
  <c r="Q107" i="7"/>
  <c r="Q106" i="7"/>
  <c r="Q101" i="7"/>
  <c r="Q98" i="7"/>
  <c r="Q70" i="7"/>
  <c r="Q81" i="7"/>
  <c r="Q82" i="7"/>
  <c r="Q83" i="7"/>
  <c r="Q84" i="7"/>
  <c r="Q85" i="7"/>
  <c r="Q26" i="7"/>
  <c r="Q16" i="7"/>
  <c r="Q24" i="7"/>
  <c r="Q23" i="7"/>
  <c r="Q22" i="7"/>
  <c r="Q21" i="7"/>
  <c r="Q20" i="7"/>
  <c r="Q19" i="7"/>
  <c r="Q18" i="7"/>
  <c r="Q17" i="7"/>
  <c r="N15" i="15" l="1"/>
  <c r="N16" i="15"/>
  <c r="N19" i="15"/>
  <c r="N31" i="15"/>
  <c r="N30" i="15"/>
  <c r="N20" i="15"/>
  <c r="N22" i="15"/>
  <c r="N25" i="15"/>
  <c r="N21" i="15"/>
  <c r="N23" i="15"/>
  <c r="N32" i="15"/>
  <c r="N14" i="15"/>
  <c r="R27" i="7"/>
  <c r="R256" i="7"/>
  <c r="R257" i="7" s="1"/>
  <c r="P257" i="7" s="1"/>
  <c r="H32" i="15" s="1"/>
  <c r="R138" i="7"/>
  <c r="R139" i="7" s="1"/>
  <c r="P139" i="7" s="1"/>
  <c r="H19" i="15" s="1"/>
  <c r="R145" i="7"/>
  <c r="R146" i="7" s="1"/>
  <c r="P146" i="7" s="1"/>
  <c r="H20" i="15" s="1"/>
  <c r="R240" i="7"/>
  <c r="R241" i="7" s="1"/>
  <c r="P241" i="7" s="1"/>
  <c r="H30" i="15" s="1"/>
  <c r="P198" i="7"/>
  <c r="H25" i="15" s="1"/>
  <c r="R163" i="7"/>
  <c r="R151" i="7"/>
  <c r="R132" i="7"/>
  <c r="R133" i="7" s="1"/>
  <c r="P133" i="7" s="1"/>
  <c r="H18" i="15" s="1"/>
  <c r="R179" i="7"/>
  <c r="R180" i="7" s="1"/>
  <c r="P180" i="7" s="1"/>
  <c r="H23" i="15" s="1"/>
  <c r="R250" i="7"/>
  <c r="R251" i="7" s="1"/>
  <c r="P119" i="7"/>
  <c r="H16" i="15" s="1"/>
  <c r="P109" i="7"/>
  <c r="H15" i="15" s="1"/>
  <c r="R86" i="7"/>
  <c r="R87" i="7" s="1"/>
  <c r="P87" i="7" s="1"/>
  <c r="H12" i="15" s="1"/>
  <c r="H11" i="15" s="1"/>
  <c r="H24" i="15" l="1"/>
  <c r="R152" i="7"/>
  <c r="P152" i="7" s="1"/>
  <c r="H21" i="15" s="1"/>
  <c r="P103" i="7"/>
  <c r="H14" i="15" s="1"/>
  <c r="H13" i="15" s="1"/>
  <c r="P251" i="7"/>
  <c r="H31" i="15" s="1"/>
  <c r="H29" i="15" s="1"/>
  <c r="R164" i="7"/>
  <c r="P164" i="7" s="1"/>
  <c r="H22" i="15" s="1"/>
  <c r="R28" i="7"/>
  <c r="P28" i="7" s="1"/>
  <c r="H7" i="15" s="1"/>
  <c r="H6" i="15" s="1"/>
  <c r="H17" i="15" l="1"/>
  <c r="H33" i="15" s="1"/>
  <c r="H34"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 Alves da Cunha</author>
  </authors>
  <commentList>
    <comment ref="K127" authorId="0" shapeId="0" xr:uid="{55C71666-5BCC-4F63-8E67-8BD12CC61941}">
      <text>
        <r>
          <rPr>
            <sz val="9"/>
            <color indexed="81"/>
            <rFont val="Segoe UI"/>
            <family val="2"/>
          </rPr>
          <t>Campos do formulário:
   - Data/Hora
   - Local da ocorrência (Localização detalhada)
   - Descrição da ocorrência
   - Menor distância entre os envolvidos (no momento final do conflito)
   - Condições da Pista (molhada ou seca)
   - Identificação das aeronaves, veículos e pessoas envolvidos
   - Condições meteorológicas (IMC, VMC, Teto, Visibilidade, RVR)
   - Ação evasiva para evitar acidente (Identificação se houve ou não ação evasiva e qual tipo de ação foi utilizada para cada aeronave ou veículo envolvidos)
   - Dados do responsável pela notificação (Nome, Cargo, Telefone e qualquer outro necessário para identificar e contactar a pessoa)</t>
        </r>
      </text>
    </comment>
    <comment ref="K130" authorId="0" shapeId="0" xr:uid="{81AA177E-5C75-41F5-8205-62BE96C895B9}">
      <text>
        <r>
          <rPr>
            <sz val="9"/>
            <color indexed="81"/>
            <rFont val="Segoe UI"/>
            <family val="2"/>
          </rPr>
          <t>Conteúdo do relatório:
   - Data/Hora e Local da Ocorrência
   - Resumo da ocorrência
   - Identificação das aeronaves, veículos e pessoas envolvidos
   - Croqui da cena do incidente (momento em que o conflito foi percebido)
   - Severidade (Severidade da incursão (conforme RISC))
   - Fatores contribuintes identificados
   - Medidas preventivas adotadas (Identificação das medidas mitigadoras com um plano de ação)</t>
        </r>
      </text>
    </comment>
    <comment ref="K150" authorId="0" shapeId="0" xr:uid="{20AE9BD3-0D94-41F1-936C-DC188BCAD62C}">
      <text>
        <r>
          <rPr>
            <sz val="9"/>
            <color indexed="81"/>
            <rFont val="Segoe UI"/>
            <family val="2"/>
          </rPr>
          <t>Conteúdo do Acordo Operacional:
   - Finalidade
   - Medidas para manter a pista livre de obstruções
   - Procedimentos de acesso à área de manobras de forma a prevenir incursão em pista
   - Uso compartilhado, total ou parcial, da área de movimento de aeronaves (Para aeroportos compartilhados com órgão militar)
   - Procedimentos de coordenação em caso de incursão em pista (Devem incluir atribuições da TWR, Operador de Aeródromo, SCI e Chefe da TWR)
   - Procedimentos para registro das ocorrências de incursão em pista
   - Procedimentos para classificação da severidade
   - Treinamento
   - Anexo com os campos necessários para a execução do RISC</t>
        </r>
      </text>
    </comment>
    <comment ref="K172" authorId="0" shapeId="0" xr:uid="{BD007BE8-FC51-42EA-9365-6AF057FD6BEA}">
      <text>
        <r>
          <rPr>
            <sz val="9"/>
            <color indexed="81"/>
            <rFont val="Segoe UI"/>
            <family val="2"/>
          </rPr>
          <t xml:space="preserve">Conteúdo do regimento interno:
   - Áreas representadas no Comitê
   - Nomes dos membros e titular
   - Responsabilidades do Presidente, Secretário e demais membros
   - Periodicidade das reuniões ordinárias
   - Requisitos para convocação de reuniões extraordinárias (Quando da ocorrência de evento grave, como incursão em pista de severidade A ou B, excursão de pista, ou confusão de pista, para investigação dos fatores contribuintes e das causas do incidente.)
   - Processo de votação
   - Sistema de divulgação das deliberações
   - Sistema de gestão da documentação produzida pelo comitê
</t>
        </r>
      </text>
    </comment>
    <comment ref="K196" authorId="0" shapeId="0" xr:uid="{3AF55514-40FE-434C-8015-049B168CC0CD}">
      <text>
        <r>
          <rPr>
            <b/>
            <sz val="9"/>
            <color indexed="81"/>
            <rFont val="Segoe UI"/>
            <family val="2"/>
          </rPr>
          <t>Daniel Alves da Cunha:</t>
        </r>
        <r>
          <rPr>
            <sz val="9"/>
            <color indexed="81"/>
            <rFont val="Segoe UI"/>
            <family val="2"/>
          </rPr>
          <t xml:space="preserve">
Embora não planejadas, essas vistorias tem o objetivo de garantir a segurança das operações. Conforme estabelecido pelo DOC 9981 - Appendix 2 to Chapter 5 - FOD PREVENTION MEASURES. 1. SOURCES OF FOD, essas vistorias especiais devem verificar também se condições meteorológicas adversas movimentaram FOD. O funcionário responsável pela inspeção deve verificar se o vento soprou detritos secos, como areia ou sacos plásticos de áreas não críticas para a área de movimento do aeródromo ou se a água da chuva e a deficiência de drenagem espalhou lama e outros detritos ao longo de áreas críticas para a segurança das operações. O operador do aeródromo também deve realizar vistoria especial para verificar se, após a tempestade, o indicador de direção e velocidade do vento do aeródromo ainda está em condições operacionais, conforme os requisitos previstos no RBAC 154, de forma a permitir a visualização, identificação e entendimento por parte do piloto e pessoal em solo. Inspeções especiais na área de movimento do aeródromo também podem ser necessárias, após a ocorrência de chuvas, pois esta condição meteorológica pode intensificar o acúmulo de água nas áreas verdes, o que pode se tornar um foco atrativo de fauna para o sítio aeroportuário. Se tiver dúvidas sobre quais condições meteorológicas adversas podem exigir uma inspeção especial, pode consultar: https://www.gov.br/anac/pt-br/assuntos/seguranca-operacional/meteorologia-aeronautica/assuntos-relacionados/aerodromos-e-a-meteorologia</t>
        </r>
      </text>
    </comment>
    <comment ref="K233" authorId="0" shapeId="0" xr:uid="{90902241-8BA1-493A-A0D3-DDFC12D20F3F}">
      <text>
        <r>
          <rPr>
            <sz val="9"/>
            <color indexed="81"/>
            <rFont val="Segoe UI"/>
            <family val="2"/>
          </rPr>
          <t>Pelo menos um desses itens deve ocorrer no local para que seja caracterizado como hot spot: Incursão em pista; Conflito de tráfego de aeronaves com potencial de colisão; Relato de pilotos reportando dificuldade de orientação; Análise de risco das operações no local indicando necessidade.</t>
        </r>
      </text>
    </comment>
  </commentList>
</comments>
</file>

<file path=xl/sharedStrings.xml><?xml version="1.0" encoding="utf-8"?>
<sst xmlns="http://schemas.openxmlformats.org/spreadsheetml/2006/main" count="1120" uniqueCount="583">
  <si>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</si>
  <si>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</si>
  <si>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</si>
  <si>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ACOP D:</t>
    </r>
    <r>
      <rPr>
        <sz val="11"/>
        <color theme="1"/>
        <rFont val="Calibri"/>
        <family val="2"/>
        <scheme val="minor"/>
      </rPr>
      <t xml:space="preserve"> Performance final entre 80% e 84%
</t>
    </r>
    <r>
      <rPr>
        <b/>
        <sz val="11"/>
        <color theme="1"/>
        <rFont val="Calibri"/>
        <family val="2"/>
        <scheme val="minor"/>
      </rPr>
      <t xml:space="preserve">ACOP C: </t>
    </r>
    <r>
      <rPr>
        <sz val="11"/>
        <color theme="1"/>
        <rFont val="Calibri"/>
        <family val="2"/>
        <scheme val="minor"/>
      </rPr>
      <t xml:space="preserve">Performance final entre 85% e 89%
</t>
    </r>
    <r>
      <rPr>
        <b/>
        <sz val="11"/>
        <color theme="1"/>
        <rFont val="Calibri"/>
        <family val="2"/>
        <scheme val="minor"/>
      </rPr>
      <t xml:space="preserve">ACOP B: </t>
    </r>
    <r>
      <rPr>
        <sz val="11"/>
        <color theme="1"/>
        <rFont val="Calibri"/>
        <family val="2"/>
        <scheme val="minor"/>
      </rPr>
      <t xml:space="preserve">Performance final entre 90% e 94%
</t>
    </r>
    <r>
      <rPr>
        <b/>
        <sz val="11"/>
        <color theme="1"/>
        <rFont val="Calibri"/>
        <family val="2"/>
        <scheme val="minor"/>
      </rPr>
      <t>ACOP A:</t>
    </r>
    <r>
      <rPr>
        <sz val="11"/>
        <color theme="1"/>
        <rFont val="Calibri"/>
        <family val="2"/>
        <scheme val="minor"/>
      </rPr>
      <t xml:space="preserve"> Performance final entre 95% e 100%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</si>
  <si>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</si>
  <si>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</si>
  <si>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</si>
  <si>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</si>
  <si>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</si>
  <si>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</si>
  <si>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</si>
  <si>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</si>
  <si>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</si>
  <si>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</si>
  <si>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</si>
  <si>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</si>
  <si>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</si>
  <si>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DOCS OPS</t>
  </si>
  <si>
    <t>Superintendência de Infraestrutura Aeroportuária - SIA
Gerência de Certificação e Segurança Operacional - GCOP
Gerência Técnica de Infraestrutura e Operações Aeroportuárias - GTOP</t>
  </si>
  <si>
    <t>Aeroporto:</t>
  </si>
  <si>
    <t>Classe 153:</t>
  </si>
  <si>
    <t>Classe XX</t>
  </si>
  <si>
    <t>CAT RFFS:</t>
  </si>
  <si>
    <t>CAT 1 a CAT 10</t>
  </si>
  <si>
    <t>Cod. 154:</t>
  </si>
  <si>
    <t>1A a 4E</t>
  </si>
  <si>
    <t>Tipo de operação:</t>
  </si>
  <si>
    <t>VFR DIU a IFR CAT III NOT</t>
  </si>
  <si>
    <t>Auditores:</t>
  </si>
  <si>
    <t>Auditor 1 / Auditor 2</t>
  </si>
  <si>
    <t>Data:</t>
  </si>
  <si>
    <t>XX/XX/20XX</t>
  </si>
  <si>
    <t>Nº</t>
  </si>
  <si>
    <t>Peso</t>
  </si>
  <si>
    <t>Tipo</t>
  </si>
  <si>
    <t>Aplic.</t>
  </si>
  <si>
    <t>EF</t>
  </si>
  <si>
    <t>Referência</t>
  </si>
  <si>
    <t>Item avaliado</t>
  </si>
  <si>
    <t>ANAC/Operador</t>
  </si>
  <si>
    <t>ANAC</t>
  </si>
  <si>
    <t>D1.1. Organizacional</t>
  </si>
  <si>
    <t>Desempenho esperado/Verificação</t>
  </si>
  <si>
    <t>Ref. MOPS</t>
  </si>
  <si>
    <t>Comentários</t>
  </si>
  <si>
    <t>N/A</t>
  </si>
  <si>
    <t>Score</t>
  </si>
  <si>
    <t>C/NC</t>
  </si>
  <si>
    <t>Score D</t>
  </si>
  <si>
    <t>D1.1.1. Treinamento - PISOA</t>
  </si>
  <si>
    <t>D1.1.1</t>
  </si>
  <si>
    <t>D</t>
  </si>
  <si>
    <t>Todos</t>
  </si>
  <si>
    <t>153016.01</t>
  </si>
  <si>
    <t xml:space="preserve">153.37(f) </t>
  </si>
  <si>
    <t>PISOA: Levantamento das necessidades de treinamento em SO</t>
  </si>
  <si>
    <t>Levantamento periódico das necessidades realizado pelo operador do aeródromo. A IS 153.37-001 recomenda que: 1) sejam consideradas alterações no contexto operacional, nas configurações do aeródromo, novos procedimentos, mudanças organizacionais, mudanças das instruções de trabalho, mudanças na legislação, dados de ocorrências no aeródromo e análises de risco elaboradas no âmbito do Sistema de Gerenciamento da Segurança Operacional (SGSO); 2) a efetividade dos treinamentos seja aferida através, por exemplo, de avaliação de aprendizagem, de reação, de transferência em amplitude, de transferência em profundidade ou de valor final.</t>
  </si>
  <si>
    <t>D1.1.2</t>
  </si>
  <si>
    <t>C</t>
  </si>
  <si>
    <t>153017.02</t>
  </si>
  <si>
    <t>153.37 / 153.39 / IS 153-37-001</t>
  </si>
  <si>
    <t>PISOA: Registro das alterações no MOPS, com justificativas.</t>
  </si>
  <si>
    <t>D1.1.3</t>
  </si>
  <si>
    <t>-</t>
  </si>
  <si>
    <t>153.37 / 139.305(b)</t>
  </si>
  <si>
    <t>PISOA: Programa de treinamento atualizado</t>
  </si>
  <si>
    <t>Registro documental</t>
  </si>
  <si>
    <t>D1.1.4</t>
  </si>
  <si>
    <t xml:space="preserve">153.37(d)(1) e (e)(1)
IS 153.37-001, Item 6.3
</t>
  </si>
  <si>
    <t>PISOA: Implementação adequada - Treinamento Geral</t>
  </si>
  <si>
    <t>Previsão do curso + Material compatível com o PISOA + Listas de presença. 
Deve conter pelo menos: a) familiarização com o aeródromo; b) comportamento na área operacional, o que inclui: I) produção de faíscas e similares; II) uso de celular; III) comportamentos seguros, com enfoque às regras de tráfego na área operacional em geral e área de manobras em específico; IV) recolhimento de FOD; V) sistema de relatos de aviação civil; c) posturas em situações de emergência, em especial: I) no caso de princípio de incêndio durante serviço de solo; II) atividades gerais do aeródromo. Deve ser aplicado aos profissionais que atuam na área operacional ou atividades relacionadas à segurança operacional. Muitas vezes é unificado com o treinamento básico</t>
  </si>
  <si>
    <t>D1.1.5</t>
  </si>
  <si>
    <t>II, III e IV</t>
  </si>
  <si>
    <t xml:space="preserve">153.37(d)(2) e (e)(2)
IS 153.37-001, Item 6.4
</t>
  </si>
  <si>
    <t>PISOA: Implementação adequada - Treinamento Básico para segurança operacional</t>
  </si>
  <si>
    <t>Previsão do curso + Material compatível com o PISOA + Listas de presença. 
Deve conter pelo menos: a) política, objetivos e requisitos de segurança operacional do operador, incluindo as responsabilidades relacionadas com a segurança operacional; b) medidas disciplinares, padrões de comportamentos aceitáveis e não aceitáveis e cultura de segurança operacional; c) processo de identificação de perigos presentes na operação do aeródromo; d) sistema de relatos de aviação civil; e) demais assuntos de relevância para o SGSO. Deve ter como foco as especificidades do SGSO do aeródromo. Deve ser aplicado aos profissionais que tenham acesso à área operacional. Muitas vezes é unificado com o treinamento geral</t>
  </si>
  <si>
    <t>D1.1.6</t>
  </si>
  <si>
    <t xml:space="preserve">153.37(d)(3) e (e)(3)
IS 153.37-001, Item 6.5
</t>
  </si>
  <si>
    <t>PISOA: Implementação adequada - Treinamento Condução de veículo na área operacional</t>
  </si>
  <si>
    <t xml:space="preserve">Previsão do curso + Material compatível com o PISOA + Listas de presença. 
Deve conter pelo menos: a) familiarização com a área operacional; b) comportamento na área operacional, com enfoque em direção defensiva; c) atividades relacionadas à condução de veículos, que incluem: I) comunicação e fraseologia em radiocomunicação; e II) atribuições do serviço de tráfego aéreo. Deve ser aplicado aos profissionais autorizados a conduzir veículos na área operacional </t>
  </si>
  <si>
    <t>D1.1.7</t>
  </si>
  <si>
    <t xml:space="preserve">153.37(d)(4) e (e)(4)
IS 153.37-001, Item 6.6
</t>
  </si>
  <si>
    <t>PISOA: Implementação adequada - Treinamento para acesso e permanência na área de manobra</t>
  </si>
  <si>
    <t xml:space="preserve">Previsão do curso + Material compatível com o PISOA + Listas de presença. 
Deve conter pelo menos: a) conhecimento do programa de prevenção de incursão em pista; b) configuração da área de movimento / sistema de pistas; c) áreas de risco (hot spots); e d) funções do órgão ATS ou da Frequência de Coordenação entre Aeronaves (FCA). Deve ser aplicado aos profissionais que atuam na área de manobras </t>
  </si>
  <si>
    <t>D1.1.8</t>
  </si>
  <si>
    <t>RVR &lt; 350m</t>
  </si>
  <si>
    <t xml:space="preserve">153.37(d)(5) e (e)(5)
IS 153.37-001, Item 6.7
</t>
  </si>
  <si>
    <t>PISOA: Implementação adequada - Treinamento para operações em baixa visibilidade</t>
  </si>
  <si>
    <t xml:space="preserve">Previsão do curso + Material compatível com o PISOA + Listas de presença. 
Deve conter: a) familiarização das operações do aeródromo, que compreende: I) áreas de risco (hot spots); e II) reconhecimento de aeronaves; b) compreensão dos riscos decorrentes da baixa visibilidade; c) comportamento na área operacional, que inclui: I) continuação das atividades; e II) situações de emergência; e) atividades relacionadas à operação em baixa visibilidade, que compreendem: I) preparação para operação em baixa visibilidade; e II) procedimentos de emergência. Deve ser aplicado aos profissionais autorizados a ingressar, permanecer ou conduzir veículos na área de manobras em condições de baixa visibilidade </t>
  </si>
  <si>
    <t>D1.1.9</t>
  </si>
  <si>
    <t xml:space="preserve">153.37(d)(7) e (e)(7)
IS 153.37-001, Item 6.9
</t>
  </si>
  <si>
    <t>PISOA: Implementação adequada - Treinamento básico para operações</t>
  </si>
  <si>
    <t>Previsão do curso + Material compatível com o PISOA + Listas de presença. 
Deve conter ao menos: a) legislação direcionada à atividade; b) principais aeronaves que operam no AD; c) embarque/desembarque de PAX; d) operação de ponte de embarque; e) abastecimento de aeronaves; f) noção de controle de movimentação de aeronave em solo; g) atividades do sinaleiro; h) fraseologia; i) comunicação - uso do rádio portátil; j) infraestrutura do aeródromo - lado ar; k) significado das sinalizações horizontais, verticais e luzes; l) auxílios à navegação instalados no sítio aeroportuário; m) programas de segurança operacional existentes no aeródromo; n) acordos operacionais do aeródromo; o) segurança operacional em obras; p) regras sanitárias; q) veículos e equipamentos; r) cargas (incluindo artigos perigosos) e bagagens; s) inspeção da área de movimento e pátio; t) plano de emergência (safety); u) processo de segurança (security); v) tratamento e controle de FOD. Deve ser aplicado aos profissionais que atuam na área operacional, que executem tarefas de supervisão das atividades desenvolvidas em pátio de aeronaves e atividades de monitoramento das condições do aeródromo.</t>
  </si>
  <si>
    <t>D1.1.10</t>
  </si>
  <si>
    <t>IV</t>
  </si>
  <si>
    <t>153.37(d)(9) e (e)(9)
IS 153.37-001, Item 6.11</t>
  </si>
  <si>
    <t>PISOA: Implementação adequada - Treinamento para avaliação e reporte de condição de pista de pouso e decolagem</t>
  </si>
  <si>
    <t xml:space="preserve">Previsão do curso + Material compatível com o PISOA + Listas de presença. 
Deve conter ao menos: a) metodologia utilizada para avaliação e reporte padronizado de condição de pista; b) responsabilidade dos agentes envolvidos e os termos do acordo operacional; c) atividade de inspeção, incluindo fraseologia a ser utilizada; d) atividade de avaliação e reavaliação, incluindo medição dos contaminantes, utilização do equipamento de medição de lâmina d’água e geração do RWYCC; e) procedimento para reporte do RWYCC ao órgão de controle de tráfego aéreo, o qual inclui o preenchimento do RCR; f) providências adicionais a serem tomadas a depender da condição da pista de pouso e decolagem. Deve ser aplicado aos profissionais que estejam direta ou indiretamente envolvidos na atividade de monitoramento estabelecida no parágrafo 153.133(d). </t>
  </si>
  <si>
    <t>D1.1.11</t>
  </si>
  <si>
    <t>153.37(b) e (d)</t>
  </si>
  <si>
    <t>Controle de requisitos de emissão e controle de credenciais de acordo com os treinamentos do PISOA</t>
  </si>
  <si>
    <t>Verificar documentação de credenciamento de funicionários que atuam na área operacional e os respectivos treinamentos para as atividades que desempenham na área operacional</t>
  </si>
  <si>
    <t>D1.1.2 PPSP</t>
  </si>
  <si>
    <t>D.1.2.1</t>
  </si>
  <si>
    <t>III e IV</t>
  </si>
  <si>
    <t>120.3(a)(1)</t>
  </si>
  <si>
    <t>Programa e subprogramas com métodos de cumprimento específicos adotados</t>
  </si>
  <si>
    <t>D.1.2.2</t>
  </si>
  <si>
    <t>120.3(a)(2)</t>
  </si>
  <si>
    <t xml:space="preserve">Declaração de conformidade </t>
  </si>
  <si>
    <t>Listagem completa de todas as seções e requisitos aplicáveis do
Regulamento, incluindo o correspondente método de
conformidade a ser adotado.</t>
  </si>
  <si>
    <t>D.1.2.3</t>
  </si>
  <si>
    <t>120.3(b)</t>
  </si>
  <si>
    <t>O PPSP do operador inclui as empresas contratadas que desempenham ARSO ou o operador exige que as empresas contratadas possuam seu próprio PPSP</t>
  </si>
  <si>
    <t>Registro documental: lista das empresas operando ARSO + PPSP incluindo as empresas. Atividades ARSO para op. aeródomo: abastecimento de aeronaves, carregamento e descarregamento de bagagem e carga, condução de veículos e/ou operação de equipamentos, inspeção de segurança, fiscal de pátio, varredura contra FOD, calço de aeronave e tratoramento de aeronave 121</t>
  </si>
  <si>
    <t>D.1.2.4</t>
  </si>
  <si>
    <t>120014
120017
120019</t>
  </si>
  <si>
    <t>120.321(a)(1)</t>
  </si>
  <si>
    <t>Realizado treinamento a empregados Atividade de Risco à Segurança
Operacional na Aviação Civil (ARSO)</t>
  </si>
  <si>
    <t>Registro documental / Setor de credenciamento (verificação por amostragem). Atualização do treinamento no mínimo a cada 5 anos</t>
  </si>
  <si>
    <t>D.1.2.5</t>
  </si>
  <si>
    <t>120.339(c)(1),
(c)(3) e (c)(4)</t>
  </si>
  <si>
    <t>Exame toxicológico de substâncias psicoativas (ETSP) após um acidente, incidente ou ocorrência de solo, para os empregados ARSO envolvidos</t>
  </si>
  <si>
    <t>Registro documental (verificação por amostragem).
Foram conduzidos ETSP pós-acidente após cada acidente, incidente e ocorrência de solo para cada empregado ARSO envolvido, ou foi atestado pela empresa a falta de condições adequadas para o exame, ou ainda determinado pela empresa que o desempenho de determinado(s) empregado(s) não contribuiu(iram) para o acidente (ou
incidente, ou ocorrência de solo). Nenhum exame pós- acidente realizado atrasou ou impediu a atenção médica necessária para indivíduo envolvido em acidente,
incidente ou ocorrência de solo e nenhum empregado requerido a realizar exame pós-acidente consumiu substância psicoativa até que o referido exame fosse conduzido.</t>
  </si>
  <si>
    <t>D.1.2.6</t>
  </si>
  <si>
    <t>120057
120058</t>
  </si>
  <si>
    <t>120.339(a)(2)</t>
  </si>
  <si>
    <t>ETSP antes que novo empregado, ou empregado realocado, desempenhe uma ARSO pela primeira vez</t>
  </si>
  <si>
    <t>Registro documental / Setor de credenciamento (verificação por amostragem)</t>
  </si>
  <si>
    <t>D.1.2.7</t>
  </si>
  <si>
    <t>120.335(a)</t>
  </si>
  <si>
    <t>Realiza ETSP para todas as classes de substâncias mencionadas no requisito</t>
  </si>
  <si>
    <t>Registro documental / Lista de substancias vs exames (verificação por amostragem)
álcool; metabólitos de opiáceos; metabólitos de canabinoides;
metabólitos de cocaína; anfetaminas / metanfetaminas / metilenodioximetanfetamina / metilenodioxianfetamina.</t>
  </si>
  <si>
    <t>D1.1.3. Qualificação de responsáveis</t>
  </si>
  <si>
    <t>D1.3.1</t>
  </si>
  <si>
    <t>153105.01</t>
  </si>
  <si>
    <t>153.15(a)(1)</t>
  </si>
  <si>
    <t>Gestor responsável do aeródromo atende critérios de qualificação defnidos no MOPS</t>
  </si>
  <si>
    <t>Currículo do gestor designado no Cadastro de Anac atende os critérios definidos no MOPS</t>
  </si>
  <si>
    <t>D1.3.2</t>
  </si>
  <si>
    <t>153.15(a)(2)</t>
  </si>
  <si>
    <t>Gestor responsável pelo gerenciamento da segurança operacional atende critérios de qualificação defnidos no MOPS</t>
  </si>
  <si>
    <t>D1.3.3</t>
  </si>
  <si>
    <t>B</t>
  </si>
  <si>
    <t>IS 153.51-001
Item 7.2.1.4</t>
  </si>
  <si>
    <t>Critérios de qualificação para o gestor responsável pelo gerenciamento da segurança operacional</t>
  </si>
  <si>
    <t>Os critérios definidos pelo operador e constantes no MOPS consideram pelo menos as seguintes competências:
(1) experiência em gerenciamento de segurança ou gerenciamento da qualidade;
(2) experiência relacionada a operações aeroportuárias;
(c) conhecimentos técnicos necessários ao entendimento dos sistemas auxiliares utilizados no aeroporto;
(d) habilidades interpessoais;
(e) habilidades analíticas e de resolução de problemas;
(f) habilidades de gerenciamento de projetos;
(g) habilidades de comunicação oral e escrita;
(h) conhecimentos relacionados aos aspectos de fatores humanos.</t>
  </si>
  <si>
    <t>D1.3.4</t>
  </si>
  <si>
    <t>153107.01</t>
  </si>
  <si>
    <t>153.15(a)(3)</t>
  </si>
  <si>
    <t>Gestor responsável pelas operações aeroportuárias atende critérios de qualificação defnidos no MOPS</t>
  </si>
  <si>
    <t>D1.3.5</t>
  </si>
  <si>
    <t>153108.01</t>
  </si>
  <si>
    <t>153.15(a)(4)</t>
  </si>
  <si>
    <t>Gestor responsável pela manutenção do aeródromo atende critérios de qualificação defnidos no MOPS</t>
  </si>
  <si>
    <t>D1.3.6</t>
  </si>
  <si>
    <t>153109.01</t>
  </si>
  <si>
    <t>153.15(a)(5)</t>
  </si>
  <si>
    <t>Gestor responsável pela resposta à emergência aeroportuária atende critérios de qualificação defnidos no MOPS</t>
  </si>
  <si>
    <t>D1.3.7</t>
  </si>
  <si>
    <t>153.15(b) e (e)</t>
  </si>
  <si>
    <t>Critérios de acumução de cargos e funções</t>
  </si>
  <si>
    <t>Verificar no processo de Qualificação de Responsáveis, assim como outras evidências, se quantidade de designados atende critérios de acumulação de acordo com a classe:
Classe II - Vedada a acumulação das responsabilidades 153.15(a)(1) e (2)
Classe III - Vedada a acumulação das responsabilidades 153.15(a)(1) e (2). Recomendado o mínimo de 3 (três) profissionais para as responsabilidades do parágrafo 153.15(a)
Classe IV - Vedada a acumulação das responsabilidades 153.15(a)(1) e (2). Recomendada a não acumulação das responsabilidades do parágrafo 153.15(a)
Atenção: avaliação em 100% apenas se atender as recomendações da Anac.  
Em caso de operador de aeródromo que administra diversos sítios, verificar se há o cumprimento das regras de não acumulação conforme a tabela de aplicabilidade do parágrafo 153.15(e).</t>
  </si>
  <si>
    <t>D1.3.8</t>
  </si>
  <si>
    <t>153.15(d)(1) e (f)
153.39(c)</t>
  </si>
  <si>
    <t>Atualização dos responsáveis no cadastro da Anac</t>
  </si>
  <si>
    <t>Verificar se os responsáveis que atuam no aeroporto possuem o cadastro atualizado na Anac. Há entre os responsáveis profissional que possui comprovado histórico de condutas ou desempenho inadequados nos últimos 5 (cinco) anos, enquanto ocupante de posição de gestão requerida pela ANAC, comprovada responsabilidade direta por irregularidade que tenha dado origem a medida administrativa de suspensão ou restrição das operações por mais de 90 (noventa) dias ou cassação de certificado ou autorização, aplicada a provedor de serviço de aviação civil certificado pela ANAC?</t>
  </si>
  <si>
    <t>D1.1.4. Cumprimento e avaliação das isenções e níveis equivalentes</t>
  </si>
  <si>
    <t>D1.4.1</t>
  </si>
  <si>
    <t>139.307(a)</t>
  </si>
  <si>
    <t>Procedimentos específicos identificados como defesas ou ações mitigadoras adicionais incorporados no MOPS</t>
  </si>
  <si>
    <t>Verificar se os procedimentos constantes na AISO ou no estudo aeronáutico que embasou a concessão da isenção ou reconhecimento do nível equivalente estão adequadamente incorporados no MOPS, com indicação de QUEM, COMO, QUANDO e ONDE tais procedimentos são executados. 
Recomenda-se que o conjunto AISO/PESO que embasou os pedidos de isenção e nível equivalente sejam inseridos como anexo ao MOPS</t>
  </si>
  <si>
    <t>D1.4.2</t>
  </si>
  <si>
    <t>139.401(a)</t>
  </si>
  <si>
    <t>Execução dos procedimentos específicos identificados como defesas ou ações mitigadoras adicionais</t>
  </si>
  <si>
    <t>Evidências documentais de que estão sendo cumpridos os procedimentos adicionais e as defesas exisitentes . Avaliar se o operador está organizado para cumprir as medidas</t>
  </si>
  <si>
    <t>D1.4.3</t>
  </si>
  <si>
    <t>Monitoramento da eficácia e reavaliação periódica das defesas e medidas mitigadoras consideradas nas isenções e níveis equivalentes</t>
  </si>
  <si>
    <t xml:space="preserve">Evidências documentais de que são feitas avaliações periódicas (incluindo reavaliação do cenário operacional), com vistas à verificação da continuidade da validade das premissas adotadas para aprovação da isenção ou do nível equivalente. Estão documentados os procedimentos com indicação de QUEM, COMO, QUANDO e ONDE tais procedimentos são executados? </t>
  </si>
  <si>
    <t>Aplicab.</t>
  </si>
  <si>
    <t>D1.2.Informações Aeronáuticas</t>
  </si>
  <si>
    <t>D1.2.1 Atualização das Informações</t>
  </si>
  <si>
    <t>D2.1.1</t>
  </si>
  <si>
    <t>153058.01</t>
  </si>
  <si>
    <t>Atualização Carta ADC</t>
  </si>
  <si>
    <t>AISWEB</t>
  </si>
  <si>
    <t>D2.1.2</t>
  </si>
  <si>
    <t>Atualização Carta PDC</t>
  </si>
  <si>
    <t>D2.1.3</t>
  </si>
  <si>
    <t>Atualização Carta GMC</t>
  </si>
  <si>
    <t>D2.1.4</t>
  </si>
  <si>
    <t>Atualização RMKs do ROTAER</t>
  </si>
  <si>
    <t>Verificar se existe informação antiga</t>
  </si>
  <si>
    <t>D2.1.5</t>
  </si>
  <si>
    <t>Atualização AIP Brasil</t>
  </si>
  <si>
    <t>D2.1.6</t>
  </si>
  <si>
    <t>Atualização Rotas de táxi padronizadas - Aeronave maior que Cód. Ref.</t>
  </si>
  <si>
    <t>Para aeronaves maiores que o código de referência do aeródromo (Exemplos: B747-8, A380)</t>
  </si>
  <si>
    <t>D2.1.7</t>
  </si>
  <si>
    <t>153.131(e)(1)
IS 153-001
Item 18.4</t>
  </si>
  <si>
    <t>Atualização e conteúdo das rotas de táxi padronizadas para operações em baixa visibilidade</t>
  </si>
  <si>
    <t>As cartas estão publicadas e atualizadas, apresentando as informações dispostas no parágrafo 18.4 da IS 153-001?
Sugere-se que cada rota padronizada seja identificada por designador diferente, que varie de acordo com a cabeceira utilizada para decolagem ou pouso e com as pistas de táxis utilizadas na rota. (item 18.4.1 da IS 153-001)</t>
  </si>
  <si>
    <t>D2.1.8</t>
  </si>
  <si>
    <t>Atualização dos NOTAM</t>
  </si>
  <si>
    <t>D2.1.9</t>
  </si>
  <si>
    <t>Atualização de demais informações</t>
  </si>
  <si>
    <t>Ex.: Combustível, hangar, ...</t>
  </si>
  <si>
    <t>D2.1.10</t>
  </si>
  <si>
    <t>153.215(b)(2)(i)</t>
  </si>
  <si>
    <t>Publicação de indisponibilidade de grooving</t>
  </si>
  <si>
    <t>D2.1.11</t>
  </si>
  <si>
    <t>Atualização Informações de áreas permanentemente interditadas nas cartas</t>
  </si>
  <si>
    <t>AISWEB - Cartas ADC/PDC/GMC possuem informações das áreas permanentemente interditadas.</t>
  </si>
  <si>
    <t>D2.1.12</t>
  </si>
  <si>
    <t xml:space="preserve">153.39(c) </t>
  </si>
  <si>
    <t xml:space="preserve">Atualização das informações cadastrais junto à ANAC </t>
  </si>
  <si>
    <t>O operador de aeródromo mantém as informações cadastrais atualizadas junto à ANAC ? Verificar se as informações do aeródromo estão atualizadas no cadastro da ANAC (LCA)</t>
  </si>
  <si>
    <t>D2.1.13</t>
  </si>
  <si>
    <t>153.133(e)
153.133(f)</t>
  </si>
  <si>
    <t>Divulgação de condição operacional ou perigo relevante para a segurança.</t>
  </si>
  <si>
    <t>Caso pertinente, verificar se o operador do aeródromo divulga no AISWEB informações sobre eventuais falhas ou operações irregulares que possam afetar as operações aéreas detectadas no pavimento, na sinalização horizontal e vertical, na sinalização luminosa, nos padrões de movimentação no solo e nos auxílios à navegação, bem como a presença de eventuais perigos temporários ou a presença de contaminantes na pista de pouso e decolagem, conforme IS nº 153.133-001, desde que cabível segundo as normas de responsabilidade da Autoridade Aeronáutica. [O item 153.133 (f) - Monitoramento da presença de contaminantes na pista de pouso e decolagem -  só é aplicável para Classe I se operar RBAC nº 135 ao público ou RBAC nº 121]</t>
  </si>
  <si>
    <t>D2.1.14</t>
  </si>
  <si>
    <t>153235.01</t>
  </si>
  <si>
    <t>153.105(e)</t>
  </si>
  <si>
    <t>Monitoramento das medidas operacionais divulgadas</t>
  </si>
  <si>
    <t>Monitora o cumprimento das medidas por parte dos operadores aéreos e aeronavegantes e informa a ANAC a ocorrência de descumprimento.</t>
  </si>
  <si>
    <t>D2.1.15</t>
  </si>
  <si>
    <t>Clareza das informações publicadas</t>
  </si>
  <si>
    <t>Verificar se não existem melhorias nas informações das cartas (ADC, PDC ou GMC), RMK do Rotaer, NOTAM ou AIP para deixá-las mais claras</t>
  </si>
  <si>
    <t>D2.1.16</t>
  </si>
  <si>
    <t>Componentes da carta ADC: Posições de espera</t>
  </si>
  <si>
    <t>D2.1.17</t>
  </si>
  <si>
    <t>A</t>
  </si>
  <si>
    <t>Componentes da carta ADC: Hotspots</t>
  </si>
  <si>
    <t>D2.1.18</t>
  </si>
  <si>
    <t>TWY nas cartas acompanhadas com designativo</t>
  </si>
  <si>
    <t>Designação das TWY de forma adequada nas cartas ADC/PDC/GMC (em todos os trechos que seja necessário para não gerar dúvidas).</t>
  </si>
  <si>
    <t>D2.1.19</t>
  </si>
  <si>
    <t>Facilidade de identificação - GMC</t>
  </si>
  <si>
    <t>Facilidade de identificação de cartas GMC de rotas padronizadas (título da carta).</t>
  </si>
  <si>
    <t>D2.1.20</t>
  </si>
  <si>
    <t>Componentes das GMC suficientes para definir as rotas de táxi padronizadas</t>
  </si>
  <si>
    <t>D2.1.21</t>
  </si>
  <si>
    <t>Processo para revisão periódica das informações</t>
  </si>
  <si>
    <t>D1.3. Sistema de Proteção da Área Operacional</t>
  </si>
  <si>
    <t>D1.3.1. Procedimentos de monitoramento especial e periódico</t>
  </si>
  <si>
    <t>D3.1.1</t>
  </si>
  <si>
    <t>153243.01</t>
  </si>
  <si>
    <t>IS 153.107-001 (7.2.2) 
IS 153.501-00
(6.6.1(a))
IS 153.505-001
(6.9.1(a))</t>
  </si>
  <si>
    <t>Identificação de ações mitigadoras relacionadas a perigos identificados por falhas nas condições físicas e funcionais das barreiras de segurança</t>
  </si>
  <si>
    <t>Considerando as características operacionais do aeródromo e das áreas adjacentes ao perímetro do sítio aeroportuário, monitorando a eficácia das ações mitigadoras que foram executadas.
Verificar se constam pontos suscetíveis, como saídas de drenagem e cercas, que possibilitem a entrada de animais no sítio aeroportuário que possam provocar risco às operações aéreas.</t>
  </si>
  <si>
    <t>D3.1.2</t>
  </si>
  <si>
    <t>153114.01</t>
  </si>
  <si>
    <t>IS 153.107-001, Item 8.1.6</t>
  </si>
  <si>
    <t>Monitoramento da eficácia do sistema de proteção da área operacional e das ações mitigadoras</t>
  </si>
  <si>
    <t>Registro documental da execução desse monitoramento específico.
ESCOPO DA ATIVIDADE: Monitoramento não se restringe às barreiras físicas, mas também aos postos de controle de acesso de veículos e pessoas mapeados e nos procedimentos de credenciamento de pessoas e veículos</t>
  </si>
  <si>
    <t>D3.1.3</t>
  </si>
  <si>
    <t>153.133(a)(3) e (b)</t>
  </si>
  <si>
    <t>Monitoramento do sistema de proteção da área operacional: Execução da Atividade</t>
  </si>
  <si>
    <t>Evidências documentais de execução das atividades de monitoramento do sistema de proteção da área operacional</t>
  </si>
  <si>
    <t>D3.1.4</t>
  </si>
  <si>
    <t>IS 153.133-001, Item 6.2.1(a) e (c)</t>
  </si>
  <si>
    <t>Monitoramento do sistema de proteção da área operacional: Programação da atividade: Horário, periodicidade e rota a ser seguida</t>
  </si>
  <si>
    <t>Verificar a existência de mapa e rota padronizada (referenciado no procedimento). ESCOPO DA ATIVIDADE: Monitoramento não se restringe às barreiras físicas, mas também aos postos de controle de acesso de veículos e pessoas mapeados e nos procedimentos de credenciamento de pessoas e veículos</t>
  </si>
  <si>
    <t>D3.1.5</t>
  </si>
  <si>
    <t>IS 153.133-001, Item 6.2.1(b)</t>
  </si>
  <si>
    <t>Monitoramento do sistema de proteção da área operacional: Pessoal envolvido, veículo e equipamentos</t>
  </si>
  <si>
    <t>ESCOPO DA ATIVIDADE: Monitoramento não se restringe às barreiras físicas, mas também aos postos de controle de acesso de veículos e pessoas mapeados e nos procedimentos de credenciamento de pessoas e veículos</t>
  </si>
  <si>
    <t>D3.1.6</t>
  </si>
  <si>
    <t>153.133(b)
IS 153.133-001, Item 6.2.1(d)
IS 153.501-00
Item 6.6.1(a)</t>
  </si>
  <si>
    <t>Monitoramento do sistema de proteção da área operacional: Elementos de verificação</t>
  </si>
  <si>
    <t>Evidências documentais de fichas padronizadas preenchidas.
ESCOPO DA ATIVIDADE: Monitoramento não se restringe às barreiras físicas, mas também aos postos de controle de acesso de veículos e pessoas mapeados e nos procedimentos de credenciamento de pessoas e veículos. Verificar se constam entre os itens verificados as condições dos pontos suscetíveis, como saídas de drenagem e cercas, que possibilitem a entrada de animais no sítio aeroportuário que possam provocar risco às operações aéreas.</t>
  </si>
  <si>
    <t>D3.1.7</t>
  </si>
  <si>
    <t>IS 153.133-001, Item 6.2.1(e), (f) e (g)</t>
  </si>
  <si>
    <t>Monitoramento do sistema de proteção da área operacional: Tratamento dos problemas encontrados</t>
  </si>
  <si>
    <t>Evidêncais de ações adotadas para correção das falhas identificadas na atividade de monitoramento. Podem ser tanto correções de infraestrutura como melhoria em procedimentos de controle de acesso ou credenciamento de pessoas e veículos</t>
  </si>
  <si>
    <t>D3.1.8</t>
  </si>
  <si>
    <t>IS 153.501-00
Item 6.6.3</t>
  </si>
  <si>
    <t>Inspeções adicionais em caso de relato de anormalidade ou de ocorrência de eventos incomum</t>
  </si>
  <si>
    <t>Evediências documentais de foram realizadas inspeções especiais. Eventos incomum são ocorrência s do tipo: condição climática severa, acidente, incidente ou atos de interferência ilícita.</t>
  </si>
  <si>
    <t>D1.3.2. Ocorrências relacionadas ao Sist. Prot. Área Operacional</t>
  </si>
  <si>
    <t>D3.2.1</t>
  </si>
  <si>
    <t>153060.02</t>
  </si>
  <si>
    <t>item 8.1.1
IS 153.107-001</t>
  </si>
  <si>
    <t>Existência de processo contínuo de análise de risco e identificação de locais sensíveis do sistema de proteção</t>
  </si>
  <si>
    <t>8.1.2 [Recomendação] É importante que o operador de aeródromo utilize o histórico de acessos indevidos de pessoas e/ou de entrada de animais terrestres na área operacional como uma ferramenta para auxiliar a análise e o gerenciamento do risco do sistema de proteção da área operacional e para identificar locais sensíveis do sistema de proteção da área operacional.</t>
  </si>
  <si>
    <t>D3.2.2</t>
  </si>
  <si>
    <t>153060.01</t>
  </si>
  <si>
    <t>item 8.1.3
IS 153.107-001</t>
  </si>
  <si>
    <t>Registro das ocorrências de acessos indevidos de pessoas ou entrada de animais na área operacional</t>
  </si>
  <si>
    <t>Os registros evidenciam coleta das seguintes informações:
a) data e horário aproximado do acesso indevido de pessoas, premeditado ou inadvertido, ou entrada de animais;
b) local do sistema de proteção da área operacional onde ocorreu o acesso indevido ou a entrada de animais; e
c) causa provável para o acesso indevido ou entrada de animais.</t>
  </si>
  <si>
    <t>D1.3.3. Credenciamento</t>
  </si>
  <si>
    <t>D3.3.1</t>
  </si>
  <si>
    <t>I*, II, III e IV</t>
  </si>
  <si>
    <t>153242.01</t>
  </si>
  <si>
    <t>153.107(c)(1), (2) e (4)</t>
  </si>
  <si>
    <t>Pessoas: Qualificação para emissão de credencial. Classe I obrigatório se operar RBAC nº 135 ao público regular ou RBAC nº 121</t>
  </si>
  <si>
    <t>Processo de emissão de credenciais considera requisitos de treinamento necessários para cada função</t>
  </si>
  <si>
    <t>D3.3.2</t>
  </si>
  <si>
    <t>IS 153-001
Item 9.6</t>
  </si>
  <si>
    <t>Pessoas: Existência de diferentes tipos de credenciais por nível de acesso à área de movimento</t>
  </si>
  <si>
    <t>Evidenciar os diferentes tipos de credenciais de acordo com acesso à área de movimento, sendo que uma credencial especial para acesso à área de manobras.</t>
  </si>
  <si>
    <t>D3.3.3</t>
  </si>
  <si>
    <t>153.107(c)(3)</t>
  </si>
  <si>
    <t>Veículos: Verificação das condições físicas para execução de suas atividades. Classe I obrigatório se operar RBAC nº 135 ao público regular ou RBAC nº 121</t>
  </si>
  <si>
    <t>D3.3.4</t>
  </si>
  <si>
    <t xml:space="preserve">153.107(c)(3)
153.111(c) </t>
  </si>
  <si>
    <t>Veículos: NBR 8919 - Aeronave - Equipto. Ap. no solo - Sinalização. Classe I obrigatório se operar RBAC nº 135 ao público regular ou RBAC nº 121</t>
  </si>
  <si>
    <t>D3.3.5</t>
  </si>
  <si>
    <t xml:space="preserve">153.107(c)(3)
153.111(b) </t>
  </si>
  <si>
    <t>Veículos: Verificação de não produção de faísca ou fogo. Classe I obrigatório se operar RBAC nº 135 ao público regular ou RBAC nº 121</t>
  </si>
  <si>
    <t>D3.3.6</t>
  </si>
  <si>
    <t>153069.01</t>
  </si>
  <si>
    <t xml:space="preserve">153.107(c)(3)
153.113(c) </t>
  </si>
  <si>
    <t>Veículos: Verificação de equipamento de rádio operacional. Classe I obrigatório se operar RBAC nº 135 ao público regular ou RBAC nº 121</t>
  </si>
  <si>
    <t>Para utilização na área de manobras</t>
  </si>
  <si>
    <t>D1.4. Runway Safety</t>
  </si>
  <si>
    <t>D1.4.1 Ocorrências de Incursão de Pista</t>
  </si>
  <si>
    <t>D4.1.1</t>
  </si>
  <si>
    <t xml:space="preserve">Manual de Prevenção de Incursão em Pista </t>
  </si>
  <si>
    <t>Gestões com a TWR para garantir que ocorrências de incursão sejam repassadas</t>
  </si>
  <si>
    <t>Registros documentais, fotos, e-mails, procedimentos, etc</t>
  </si>
  <si>
    <t>D4.1.2</t>
  </si>
  <si>
    <t>Registro de ocorrência de incursão em pista no formulário cfe. o Manual para Prevenção de Incursão em Pista</t>
  </si>
  <si>
    <t>Modelo de formulário pode ser obtido na página Runway Safety</t>
  </si>
  <si>
    <t>D4.1.3</t>
  </si>
  <si>
    <t>Investigação das ocorrências de incursão em pista [Manual para Prevenção de Incursão em Pista</t>
  </si>
  <si>
    <t>Evidências de investigação da incursão em pista com vistas a identificar os fatores contribuintes</t>
  </si>
  <si>
    <t>D4.1.4</t>
  </si>
  <si>
    <t>Detalhamento suficiente da descrição do desvio e das condições nas quais o desvio foi cometido [Manual para Prevenção de Incursão em Pista]</t>
  </si>
  <si>
    <t>A descrição do desvio (erro) é suficientemente detalhada para ajudar na identificação dos fatores contribuintes (Motivos do acesso inadequado, experiência do motorista, treinamento, …)
As condições nas quais o desvio foi cometido são suficientemente detalhadas para proposição de medidas mitigadoras mais eficazes. (Condições relevantes do ambiente, e as condições latentes presentes na organização (layout do aeródromo complexo, sinalizações verticais e horizontais inadequadas e sobrecarga de trabalho).</t>
  </si>
  <si>
    <t>D4.1.5</t>
  </si>
  <si>
    <t>Realização de Relatório de Identificação de Fatores Contribuintes [Manual para Prevenção de Incursão em Pista]</t>
  </si>
  <si>
    <t>Conteúdo do relatório adequado ao modelo</t>
  </si>
  <si>
    <t>D4.1.6</t>
  </si>
  <si>
    <t>Adoção de medidas preventivas com base nas análises das ocorrências de incursão em pista [Manual para Prevenção de Incursão em Pista]</t>
  </si>
  <si>
    <t>Evidências de que os procedimentos de análise de ocorrências de incursão em pista geraram a adoção de medidas preventivas por parte do operador do aeródromo</t>
  </si>
  <si>
    <t xml:space="preserve">D1.4.2. Autoavaliação de Incursão em Pista </t>
  </si>
  <si>
    <t>D4.2.1</t>
  </si>
  <si>
    <t>Preenchimento do questionário de avaliação de incursão em pista [Manual do RST]</t>
  </si>
  <si>
    <t>O operador do aeródromo preencheu previamente o formulário de avaliação de incursão em pista, conforme orientado no Manual do RST</t>
  </si>
  <si>
    <t>D4.2.2</t>
  </si>
  <si>
    <t>Nota do questionário de avaliação de incursão em pista [Manual do RST]</t>
  </si>
  <si>
    <t>Avaliar preenchimento do formulário e inserir a nota do questionário.</t>
  </si>
  <si>
    <t>D1.4.3. Comunicação</t>
  </si>
  <si>
    <t>D4.3.1</t>
  </si>
  <si>
    <t>Comunicações para operações na RWY em uma frequência VHF designada para a pista [Manual para Prevenção de Incursão em Pista]</t>
  </si>
  <si>
    <t>Se a comunicação para todas as operações na RWY é realizada em uma única frequência VHF para a pista.</t>
  </si>
  <si>
    <t>D4.3.2</t>
  </si>
  <si>
    <t>Utilização de frequência acoplada (coupling) [Manual para Prevenção de Incursão em Pista]</t>
  </si>
  <si>
    <t>Se a comunicação acoplada (coupling) é empregada para garantir que todas as comunicações UHF associadas com as operações na pista sejam simultaneamente transmitidas na frequência VHF apropriada (e vice-versa). (Para acomodação de veículos que são equipados somente com rádios UHF)</t>
  </si>
  <si>
    <t>D4.3.3</t>
  </si>
  <si>
    <t>Indicativo de chamada específico para cada veículo que acessa a área manobras [Manual para Prevenção de Incursão em Pista]</t>
  </si>
  <si>
    <t>Se os indicativos de chamada dos veículos de operações, manutenção, REA e perigo da fauna são únicos para cada veículo.</t>
  </si>
  <si>
    <t>D1.4.4. Acordo Operacional</t>
  </si>
  <si>
    <t>D4.4.1</t>
  </si>
  <si>
    <t>153245.01</t>
  </si>
  <si>
    <t>153.109(d)</t>
  </si>
  <si>
    <t>Atualização de Acordo Operacional para prevenção de incursão em pista</t>
  </si>
  <si>
    <t xml:space="preserve">Existência e vigência do acordo operacional entre operador do aeródromo e órgão ATS. O acordo deve estar assinado por ambas as partes. </t>
  </si>
  <si>
    <t>D4.4.2</t>
  </si>
  <si>
    <t xml:space="preserve">IS 153-001
Item 19.2
Manual de Prevenção de Incursão em Pista </t>
  </si>
  <si>
    <t>Conteúdo do acordo operacional adequado</t>
  </si>
  <si>
    <t>Registro documental. Abordar os elementos contidos no modelo de acordo recomendado pela Anac e no mínimo atender os itens dispositos no parágrafo 19.2 da IS 153-001.</t>
  </si>
  <si>
    <t>D1.4.5. Treinamento de motoristas</t>
  </si>
  <si>
    <t>D4.5.1</t>
  </si>
  <si>
    <t>Descrição dos procedimentos do acordo operacional no treinamento dos motoristas</t>
  </si>
  <si>
    <t>Evidências no programa do curso para motoristas que acessam a área de manobras</t>
  </si>
  <si>
    <t>D4.5.2</t>
  </si>
  <si>
    <t>Manual do PISOA</t>
  </si>
  <si>
    <t>Treinamento em fraseologia: Exame prático</t>
  </si>
  <si>
    <t>Exame prático de fraseologia durante o treinamento dos motoristas e em atualizações periódicas</t>
  </si>
  <si>
    <t>D4.5.3</t>
  </si>
  <si>
    <t>Treinamento em fraseologia: Auto avaliação e avaliação de pares proficiência</t>
  </si>
  <si>
    <t>Procedimento no qual os controladores e motoristas ouvirem periodicamente trechos de transmissões e compararem o que foi dito com a fraseologia padrão.</t>
  </si>
  <si>
    <t>D4.5.4</t>
  </si>
  <si>
    <t>Treinamento em fraseologia: Avaliação pelos superiores proficiência</t>
  </si>
  <si>
    <t>Acompanhamento periódico (por meio de escuta de comunicações ou gravações) por parte dos superiores para avaliar a fraseologia utilizada por controladores e motoristas.</t>
  </si>
  <si>
    <t>D4.5.5</t>
  </si>
  <si>
    <t>Ações de conscientização para a fraseologia</t>
  </si>
  <si>
    <t>Utilização de folhetos ou campanhas de conscientização que mostrem que práticas de comunicação de acordo com a fraseologia definida na IS 153.109 e no MCA 100-16 ajudam a prevenir erros de movimentação no solo.</t>
  </si>
  <si>
    <t>D4.5.6</t>
  </si>
  <si>
    <t>Treinamento de língua inglesa</t>
  </si>
  <si>
    <t>Para profissionais que acessam área de manobras</t>
  </si>
  <si>
    <t>D4.5.7</t>
  </si>
  <si>
    <t>Avaliação do treinamento dos motoristas</t>
  </si>
  <si>
    <t>Evidências da avaliação periódica do treinamento dos profissionais que atuam como motoristas na área de movimento</t>
  </si>
  <si>
    <t>D4.5.8</t>
  </si>
  <si>
    <t>Avaliação do treinamento dos motoristas - Questionário de Avaliação do Treinamento para acesso à área de manobras - RWY Safety</t>
  </si>
  <si>
    <t>Percentual de cumprimento do questionário disponível na página de Runway Safety da ANAC.</t>
  </si>
  <si>
    <t>D1.4.6. Runway Safety Team - RST</t>
  </si>
  <si>
    <t>D4.6.1</t>
  </si>
  <si>
    <t>Item 10.7
IS 153-001</t>
  </si>
  <si>
    <t>RST implantado</t>
  </si>
  <si>
    <t>Atas de reuniões do RST e outras evidências da implantação</t>
  </si>
  <si>
    <t>D4.6.2</t>
  </si>
  <si>
    <t>Manual do RST</t>
  </si>
  <si>
    <t>Plano de ação para a segurança da pista</t>
  </si>
  <si>
    <t>Aprovação e acompanhamento de plano de ação para a segurança da pista</t>
  </si>
  <si>
    <t>D4.6.3</t>
  </si>
  <si>
    <t>Realização de reuniões ordinárias</t>
  </si>
  <si>
    <t>Realização das reuniões na frequência definida</t>
  </si>
  <si>
    <t>D4.6.4</t>
  </si>
  <si>
    <t>Realização de reuniões extraordinárias</t>
  </si>
  <si>
    <t>Caso necessária, conforme regimento do RST.</t>
  </si>
  <si>
    <t>D4.6.5</t>
  </si>
  <si>
    <t>Inclusão dos perigos identificados pelo RST na biblioteca de perigos do aeroporto</t>
  </si>
  <si>
    <t>D4.6.6</t>
  </si>
  <si>
    <t>Conteúdo do regimento interno</t>
  </si>
  <si>
    <t>Registros documentais</t>
  </si>
  <si>
    <t>D4.6.7</t>
  </si>
  <si>
    <t>Pesquisa com pilotos</t>
  </si>
  <si>
    <t>Registros documentais:
1) Realização de pesquisa com pilotos que operam no aeroporto 
2) Apuração dos resultados das pesquisas</t>
  </si>
  <si>
    <t>D4.6.8</t>
  </si>
  <si>
    <t>Análise das necessidades da TWR em relação à movimentação no solo</t>
  </si>
  <si>
    <t>Registros documentais:
1) Descrição das necessidades por parte da TWR - Evidências do contato e avaliação das necessidades da TWR 
2) Tratamento das necessidades da TWR - Verificar se ações foram tomadas ou estão incluídas no plano de ação e acompanhadas</t>
  </si>
  <si>
    <t>D4.6.9</t>
  </si>
  <si>
    <t>Avaliação da efetividade das medidas adotadas</t>
  </si>
  <si>
    <t>Avaliação por parte dos integrantes da efetifidade de ações tomadas após ocorrência de incursão em pista</t>
  </si>
  <si>
    <t>D4.6.10</t>
  </si>
  <si>
    <t>Realização de visita na área de manobras por parte da equipe do RST para verificação dos auxílios visuais</t>
  </si>
  <si>
    <t>D4.6.11</t>
  </si>
  <si>
    <t>Existência de uma biblioteca do RST</t>
  </si>
  <si>
    <t>Biblioteca com material (regulamentos, livros, documentos, apostilas, relatórios, etc.) para consulta dos membros sobre segurança operacional</t>
  </si>
  <si>
    <t>D4.6.12</t>
  </si>
  <si>
    <t>Histórico da documentação produzida pelo RST</t>
  </si>
  <si>
    <t>A documentação produzida pelo comitê deve ser gerida de maneira a garantir a rastreabilidade e registrar o histórico das atividades desenvolvidas pelo comitê</t>
  </si>
  <si>
    <t>D1.5. Monitoramento da Condição Física e Operacional</t>
  </si>
  <si>
    <t>D1.5.1.Monitoramento da área de movimento</t>
  </si>
  <si>
    <t>D.5.1.1</t>
  </si>
  <si>
    <t>153121.01</t>
  </si>
  <si>
    <t>153.133(a)(4) e (b)</t>
  </si>
  <si>
    <t>Execução da Atividade</t>
  </si>
  <si>
    <t>Evidências documentais de execução das atividades de monitoramento da área de movimento.</t>
  </si>
  <si>
    <t>D.5.1.2</t>
  </si>
  <si>
    <t xml:space="preserve">153.133(c) </t>
  </si>
  <si>
    <t>Quantidade de inspeções diárias
     RWY - 2x ao dia (em turnos distintos)</t>
  </si>
  <si>
    <t>Registro docuental: MOPS</t>
  </si>
  <si>
    <t>D.5.1.3</t>
  </si>
  <si>
    <t>DOC 9137 P8 C3</t>
  </si>
  <si>
    <t>Quantidade de inspeções diárias:
     RWY - 3x ao dia (em turnos distintos)
     TWY - 1x ao dia</t>
  </si>
  <si>
    <t>D.5.1.4</t>
  </si>
  <si>
    <t>Quantidade de inspeções diárias:
     RWY - 4x ao dia (em turnos distintos)
     TWY - 1x ao dia</t>
  </si>
  <si>
    <t>D.5.1.5</t>
  </si>
  <si>
    <t xml:space="preserve">153.133(c) 139.401(a)
IS 153.133-001, Item 6.2.1(a) e (c) </t>
  </si>
  <si>
    <t>Programação da atividade: Horário, periodicidade e rota a ser seguida</t>
  </si>
  <si>
    <t>Evidências documentais. Segue horários previstos no MOPS? Inspeções estão distribuídas durante o dia/noite? Há desenho com rota padronizada a ser seguida (Item 6.2.3 da IS 153.133-001)?</t>
  </si>
  <si>
    <t>D.5.1.6</t>
  </si>
  <si>
    <t>153121.02</t>
  </si>
  <si>
    <t>153.37(d)(7) e (e)(7)
IS 153.37-001, Item 6.9
IS 153.133-001, Item 6.2.1(b)</t>
  </si>
  <si>
    <t>Pessoal envolvido, veículo e equipamentos</t>
  </si>
  <si>
    <t>Evidências de que os fiscais que fazem inspeções na área de movimentos receberam treinamento adequado (AD classe II, III e IV).</t>
  </si>
  <si>
    <t>D.5.1.7</t>
  </si>
  <si>
    <t>153115.01</t>
  </si>
  <si>
    <t>153.133(b)
IS 153.133-001, Item 6.2.1(d)</t>
  </si>
  <si>
    <t>Elementos de verificação: Fichas padronizadas preenchidas</t>
  </si>
  <si>
    <t>Verificar fichas preenchidas, registros dos perigos identificados, localização identificada com base em mapa de grade do aeródromo. Por exemplo, alguns dos itens de verificação listados no parágrafo 153.133(b):
(1) pavimento;
(2) sinalização horizontal e vertical;
(3) sinalização luminosa;
(4) sinalização provisória e definitiva;
(5) contaminantes no pavimento;
(6) presença de FO.</t>
  </si>
  <si>
    <t>D.5.1.8</t>
  </si>
  <si>
    <t>Tratamento dos problemas encontrados</t>
  </si>
  <si>
    <t>Registro docuental: Biblioteca de Perigos / AISO/PESO / O.S. abertas</t>
  </si>
  <si>
    <t>D.5.1.9</t>
  </si>
  <si>
    <t>153.133(c)(2)
IS 153.133-001
Item 6.2.2.2</t>
  </si>
  <si>
    <t xml:space="preserve">Inspeções adicionais na pista de pouso e decolagem para gerenciamento do risco meteorológico </t>
  </si>
  <si>
    <t>Registro documental (Evidências de que são realizadas verificações adicionais na PPD se as condições da superfície da pista de pouso e decolagem mudarem significativamente devido às condições meteorológicas)</t>
  </si>
  <si>
    <t>D.5.1.10</t>
  </si>
  <si>
    <t>DOC 9981</t>
  </si>
  <si>
    <t xml:space="preserve">Inspeções adicionais na área operacional para gerenciamento do risco meteorológico </t>
  </si>
  <si>
    <t>Registro documental (Evidências de que são realizadas verificações adicionais na área de movimento após a ocorrência de chuvas ou ventos fortes para verificação de dano à infraestrutura das barreiras de segurança, FO, indicador de direção de vento e acúmulo de água nas áreas verdes)</t>
  </si>
  <si>
    <t>D1.5.2. Monitoramento de obstáculos</t>
  </si>
  <si>
    <t>D5.2.1</t>
  </si>
  <si>
    <t>153.133(a)(1) e (b)</t>
  </si>
  <si>
    <t>Evidências documentais de execução das atividades de monitoramento de obstáculos. Importante que haja mapeamento dos obstáculos existentes na PZPA/PZPANA nas proximidades no aeródromo.</t>
  </si>
  <si>
    <t>D5.2.2</t>
  </si>
  <si>
    <t>IS 153.133-001, Item 6.2.1(a)</t>
  </si>
  <si>
    <t>Programação da atividade: Horário, periodicidade e instruções</t>
  </si>
  <si>
    <t>Registro documental conforme previsto no MOPS. Documentos de apoio à atividade devem fornecer orientações específicas quanto aos obstáculos existentes na PBZPA/PZPANA. Para verificação das luzes de iluminação dos obstáculos, é recomendável que programação inclua verificações no período noturno também</t>
  </si>
  <si>
    <t>D5.2.3</t>
  </si>
  <si>
    <t>Pessoal responsável foi treinado para execução dos procedimentos, assim como veículos e equipamentos são adequados. Ser capaz de reconhecer os obstáculos, a sinalização e iluminação exigida para eles.</t>
  </si>
  <si>
    <t>D5.2.4</t>
  </si>
  <si>
    <t>Registro documental (Evidências de que são realizadas verificações para identificar violação nas superfícies de proteção do aeródromo que possa gerar impacto direto na operação de aeronaves, assim como a sinalização e iluminação dos obstáculos existentes, de acordo com a programação e periodicidade prevista no MOPS)</t>
  </si>
  <si>
    <t>D5.2.5</t>
  </si>
  <si>
    <t>153.133(a)(1)
IS 153.133-001, Item 6.2.1(c)</t>
  </si>
  <si>
    <t>Rota padronizada e pontos de referência para verificação da sinalização e iluminação dos obstáculos existentes nas proximidades do aeródromo</t>
  </si>
  <si>
    <t>São utilizadas referências geográficas para registro dos achados durante a execução da atividade</t>
  </si>
  <si>
    <t>D5.2.6</t>
  </si>
  <si>
    <t>Rota padronizada e pontos de referência para verificação de possíveis novos obstáculos</t>
  </si>
  <si>
    <t>D5.2.7</t>
  </si>
  <si>
    <t>Evidências de notificação à Prefeitura de eventuais construções ou atividades em possível desacordo com os gabaritos do PBZPA/PZPANA, de notificação ao respectivo Cindacta quanto irregularidades encontradas durante a atividade e de gestão para adequação de sinalização ou iluminação de obstáculo existente.</t>
  </si>
  <si>
    <t>D1.5.3. Monitoramento de pátio</t>
  </si>
  <si>
    <t>D5.3.1</t>
  </si>
  <si>
    <t>153.133(a)(5), (a)(6) e (b)</t>
  </si>
  <si>
    <t>Evidências documentais de execução das atividades de monitoramento previstas nos parágrafos 153.133(a)(5) e (a)(6).
ESCOPO DA ATIVIDADE Há verificações de separação entre aeronaves nas posições de estacionamento, supervisão das atividades de ground handling e das condições de equipamentos e veículos utilizados nas atividades de atendimento à aeronave. Quanto ao monitoramento das condições de equipametnos e veículos: Em aeroportos pequenos, essa atividade é executada pelos fiscais; já em aeroportos maiores, há procedimentos específicos para o monitoramento das condições de equipamentos e veículos por meio de blitz, por exemplo.</t>
  </si>
  <si>
    <t>D5.3.2</t>
  </si>
  <si>
    <t xml:space="preserve">Todos </t>
  </si>
  <si>
    <t xml:space="preserve"> Programação da atividade: Escopo, Horário e periodicidade </t>
  </si>
  <si>
    <t>Registro documental conforme previsto no MOPS. 
ESCOPO: DA ATIVIDADE Há verificações de separação entre aeronaves nas posições de estacionamento, supervisão das atividades de ground handling e das condições de equipamentos e veículos utilizados nas atividades de atendimento à aeronave. Quanto ao monitoramento das condições de equipametnos e veículos: Em aeroportos pequenos, essa atividade é executada pelos fiscais; já em aeroportos maiores, há procedimentos específicos para o monitoramento das condições de equipamentos e veículos por meio de blitz, por exemplo.</t>
  </si>
  <si>
    <t>D5.3.3</t>
  </si>
  <si>
    <t xml:space="preserve">Pessoal responsável foi treinado para execução dos procedimentos, assim como veículos e equipamentos são adequados. </t>
  </si>
  <si>
    <t>D5.3.4</t>
  </si>
  <si>
    <t xml:space="preserve">Registro documental (Evidências de que são realizadas verificações para identificar falhas na execução das atividades de atendimento à aeronave, assim como nas condições dos equipamentos e veículos). </t>
  </si>
  <si>
    <t>D5.3.5</t>
  </si>
  <si>
    <t>Evidências de tratamento das falhas identificadas. Retirada de credencial de veículo ou equipamento. Em aeroportos maiores, há procedimentos de pontuação por tipo de infrações.</t>
  </si>
  <si>
    <t>D1.5.4. Outros monitoramentos</t>
  </si>
  <si>
    <t>D.5.4.1</t>
  </si>
  <si>
    <t>153.133(a)(7)</t>
  </si>
  <si>
    <t>Monitoramento de obras ou serviços de manutenção. (Para Classe I, obrigatório qdo obra ou serviço de manutenção realizado em área protegida com o aeródromo em funcionamento)</t>
  </si>
  <si>
    <t>Registro documental (Evidências de que são realizadas verificações para identificar se as atividades estão sendo executadas conforme planejado no PESO bem como identificar situações que possam pôr em risco a operação de aeronaves)</t>
  </si>
  <si>
    <t>D.5.4.2</t>
  </si>
  <si>
    <t>Classe IV</t>
  </si>
  <si>
    <t>153.133(d)</t>
  </si>
  <si>
    <t>Divulgação de código de condição da pista de pouso e decolagem (Runway Condition Code - RWYCC)</t>
  </si>
  <si>
    <t>Verificar se o operador do aerodromo informa ao órgão de controle de tráfego aéreo (se houver) o código de condição da pista de pouso e decolagem (Runway Condition Code - RWYCC) sempre que forem verificadas alterações nas condições de superfície da pista, conforme disposto na IS nº 153.133-001.
Buscar condição de chuva e apurar se houve a publicação da informação</t>
  </si>
  <si>
    <t>D.5.4.3</t>
  </si>
  <si>
    <t>Manual de
GERENCIAMENTO
DO RISCO DE FOD</t>
  </si>
  <si>
    <t>Existência de atividade e procedimentos específicos para controle de FOD na área de movimento</t>
  </si>
  <si>
    <t>Ações de conscientização e treinamento da comunidade aeroportuária. Procedimentos e  equipamentos para coleta, pontos específicos de descarte de FOD, coleta e análise de dados</t>
  </si>
  <si>
    <t>D1.6. Procedimentos e melhoria do SOCMS</t>
  </si>
  <si>
    <t>D1.6.1. Identificação dos Hot Spots</t>
  </si>
  <si>
    <t>D.6.1.1</t>
  </si>
  <si>
    <t>153111.01</t>
  </si>
  <si>
    <t>Item 7.3.1
IS 153-001</t>
  </si>
  <si>
    <t>Descrição adequada dos hot spots no SOCMS</t>
  </si>
  <si>
    <t>Suficiente para alertar os pilotos sobre qual o perigo associado ao hot spot, de modo a aumentar a consciência situacional.</t>
  </si>
  <si>
    <t>D.6.1.2</t>
  </si>
  <si>
    <t>Processo de identificação de hot spots instituído</t>
  </si>
  <si>
    <t>Atas de reuniões, relatórios ou materiais produzidos pelo RST, ou pela CSO no caso de inexistência de RST no aeroporto.</t>
  </si>
  <si>
    <t>D.6.1.3</t>
  </si>
  <si>
    <t>Monitoramento das ocorrências na área de movimentos</t>
  </si>
  <si>
    <t>Monitoramento de ocorrências de incursão, incidentes ou reporte de pilotos para identificação de hot spots.</t>
  </si>
  <si>
    <t>D.6.1.4</t>
  </si>
  <si>
    <t>Participação da TWR no processo de identificação de hot spots</t>
  </si>
  <si>
    <t>Registro da participação de representante da TWR no processo de identificação de hot spots.</t>
  </si>
  <si>
    <t>D.6.1.5</t>
  </si>
  <si>
    <t>Avaliações de risco de hot spots</t>
  </si>
  <si>
    <t>Registro documental: Biblioteca de Perigos + AISO/PESO + Análise de risco antes de uma mudança de configuração de TWY ou da introdução de um procedimento novo, para evitar criação de novos hot spots + Evidências do monitoramento para verificar efetividade das medidas adotadas</t>
  </si>
  <si>
    <t>D.6.1.6</t>
  </si>
  <si>
    <t>Mitigação ou remoção de hot spot / monitoramento</t>
  </si>
  <si>
    <t>Exemplo: Criação de uma nova rota de taxi ou de novo procedimeto; Instalação de sinalização vertical, horizontal ou iluminação; Construção TWY alternativa; Correção ou eliminação de pontos cegos da TWR.</t>
  </si>
  <si>
    <t>D.6.1.7</t>
  </si>
  <si>
    <t>Campanha de alerta de hot spot</t>
  </si>
  <si>
    <t>Evidências de campanha de alerta e conscientização das pessoas que operam diretamente nas áreas de hot spot.</t>
  </si>
  <si>
    <t>D.6.1.8</t>
  </si>
  <si>
    <t>Visão total da área de movimentos pela TWR</t>
  </si>
  <si>
    <t>Inexistência de pontos cegos da TWR na área de movimento de aeronaves. Em caso de haver pontos cegos, verificar a efetividade de instalação de câmeras nos locais não visíveis a partir da TWR</t>
  </si>
  <si>
    <t>D1.6.2 Operações em baixa visibilidade</t>
  </si>
  <si>
    <t>D.6.2.1</t>
  </si>
  <si>
    <t>Procedimentos específicos para baixa visibilidade</t>
  </si>
  <si>
    <t>Previsão e utilização durante baixa visibilidade</t>
  </si>
  <si>
    <t>D.6.2.2</t>
  </si>
  <si>
    <t xml:space="preserve">153.131(c) </t>
  </si>
  <si>
    <t>Treinamento dos profissionais para utilização de apenas uma frequência RTF</t>
  </si>
  <si>
    <t>Durante baixa visibilidade</t>
  </si>
  <si>
    <t>D.6.2.3</t>
  </si>
  <si>
    <t>153.131(d)</t>
  </si>
  <si>
    <t>Designação de profissional responsável pelas operações em baixa visibilidade</t>
  </si>
  <si>
    <t>D.6.2.4</t>
  </si>
  <si>
    <t>153.131(e)
IS 153-001</t>
  </si>
  <si>
    <t xml:space="preserve">Medição e divulgação do RVR e de dados meteorológicos </t>
  </si>
  <si>
    <t>D.6.2.5</t>
  </si>
  <si>
    <t>153.109(d)
153.131(e) 
IS 153-001</t>
  </si>
  <si>
    <t>Especificação da capacidade, expressa em pousos e decolagens por hora, que o aeródromo pode operar em condições de baixa visibilidade</t>
  </si>
  <si>
    <t xml:space="preserve">Deve estar previsto no acordo operacional </t>
  </si>
  <si>
    <t>D.6.2.6</t>
  </si>
  <si>
    <t>153.131(e)</t>
  </si>
  <si>
    <t>Vistoria da área de movimentos antes do início da operação de baixa visibilidade</t>
  </si>
  <si>
    <t>Evidências da realização de vistoria.</t>
  </si>
  <si>
    <t>D1.6.3 Designações das pistas de táxi</t>
  </si>
  <si>
    <t>D.6.3.1</t>
  </si>
  <si>
    <t>Manual sobre critérios de movimentação no solo e SOCMS</t>
  </si>
  <si>
    <t>Designação de forma a evitar confusão</t>
  </si>
  <si>
    <t>Ex (não utilizar): X, O, I, S, Z ou que possam confundir com a cabeceira (TWY L4 se existe cabeceira 04L no aeroporto).</t>
  </si>
  <si>
    <t>D.6.3.2</t>
  </si>
  <si>
    <t>Lógica simples</t>
  </si>
  <si>
    <t>Critério sequencial usado para designar as TWY.
Por exemplo: Norte/Sul ou Leste/Oeste</t>
  </si>
  <si>
    <t>Resultado final DOCS OPS</t>
  </si>
  <si>
    <t>Desempenho final OPS</t>
  </si>
  <si>
    <t>Menção final OPS</t>
  </si>
  <si>
    <t>Listas suspensas</t>
  </si>
  <si>
    <t>Inexistente</t>
  </si>
  <si>
    <t>Presente</t>
  </si>
  <si>
    <t>Adequado</t>
  </si>
  <si>
    <t>Operacional</t>
  </si>
  <si>
    <t>Efetivo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</si>
</sst>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9"/>
      <name val="Calibri"/>
      <family val="2"/>
      <scheme val="minor"/>
    </font>
    <font>
      <b/>
      <sz val="9"/>
      <name val="Calibri"/>
      <family val="2"/>
      <scheme val="minor"/>
    </font>
    <font>
      <b/>
      <sz val="12"/>
      <name val="Calibri"/>
      <family val="2"/>
      <scheme val="minor"/>
    </font>
    <font>
      <sz val="9"/>
      <color theme="2" tint="-0.499984740745262"/>
      <name val="Calibri"/>
      <family val="2"/>
      <scheme val="minor"/>
    </font>
    <font>
      <b/>
      <sz val="9"/>
      <color rgb="FF333333"/>
      <name val="Calibri"/>
      <family val="2"/>
      <scheme val="minor"/>
    </font>
    <font>
      <b/>
      <sz val="9"/>
      <color theme="2" tint="-0.499984740745262"/>
      <name val="Calibri"/>
      <family val="2"/>
      <scheme val="minor"/>
    </font>
    <font>
      <sz val="9"/>
      <color indexed="81"/>
      <name val="Segoe UI"/>
      <family val="2"/>
    </font>
    <font>
      <b/>
      <sz val="11"/>
      <color theme="1"/>
      <name val="Calibri"/>
      <family val="2"/>
      <scheme val="minor"/>
    </font>
    <font>
      <b/>
      <i/>
      <sz val="11"/>
      <color theme="1"/>
      <name val="Calibri"/>
      <family val="2"/>
      <scheme val="minor"/>
    </font>
    <font>
      <sz val="11"/>
      <color theme="1"/>
      <name val="Calibri"/>
      <family val="2"/>
    </font>
    <font>
      <sz val="12"/>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b/>
      <sz val="8"/>
      <name val="Calibri"/>
      <family val="2"/>
      <scheme val="minor"/>
    </font>
    <font>
      <b/>
      <sz val="8"/>
      <color rgb="FF333333"/>
      <name val="Calibri"/>
      <family val="2"/>
      <scheme val="minor"/>
    </font>
    <font>
      <b/>
      <sz val="9"/>
      <color indexed="81"/>
      <name val="Segoe UI"/>
      <family val="2"/>
    </font>
  </fonts>
  <fills count="8">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
      <patternFill patternType="solid">
        <fgColor theme="8" tint="0.79998168889431442"/>
        <bgColor indexed="64"/>
      </patternFill>
    </fill>
  </fills>
  <borders count="11">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hair">
        <color indexed="64"/>
      </left>
      <right style="hair">
        <color indexed="64"/>
      </right>
      <top/>
      <bottom style="hair">
        <color indexed="64"/>
      </bottom>
      <diagonal/>
    </border>
  </borders>
  <cellStyleXfs count="2">
    <xf numFmtId="0" fontId="0" fillId="0" borderId="0"/>
    <xf numFmtId="9" fontId="1" fillId="0" borderId="0" applyFont="0" applyFill="0" applyBorder="0" applyAlignment="0" applyProtection="0"/>
  </cellStyleXfs>
  <cellXfs count="128">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0" fontId="6" fillId="4" borderId="1" xfId="0" applyFont="1" applyFill="1" applyBorder="1" applyAlignment="1">
      <alignment vertical="center" wrapText="1"/>
    </xf>
    <xf numFmtId="0" fontId="2" fillId="0" borderId="0" xfId="0" applyFont="1" applyAlignment="1">
      <alignment horizontal="left" vertical="center"/>
    </xf>
    <xf numFmtId="0" fontId="2"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horizontal="center" vertical="center" wrapText="1"/>
    </xf>
    <xf numFmtId="0" fontId="3" fillId="2" borderId="1" xfId="0" applyFont="1" applyFill="1" applyBorder="1" applyAlignment="1">
      <alignment horizontal="left" vertical="center" wrapText="1"/>
    </xf>
    <xf numFmtId="0" fontId="2" fillId="0" borderId="7" xfId="0" applyFont="1" applyBorder="1" applyAlignment="1">
      <alignment horizontal="centerContinuous" vertical="center"/>
    </xf>
    <xf numFmtId="0" fontId="2" fillId="0" borderId="0" xfId="0" applyFont="1" applyAlignment="1">
      <alignment horizontal="centerContinuous" vertical="center"/>
    </xf>
    <xf numFmtId="0" fontId="8" fillId="0" borderId="0" xfId="0" applyFont="1"/>
    <xf numFmtId="0" fontId="3" fillId="0" borderId="5" xfId="0" applyFont="1" applyBorder="1" applyAlignment="1">
      <alignment horizontal="center" vertical="center"/>
    </xf>
    <xf numFmtId="0" fontId="10" fillId="0" borderId="5" xfId="0" applyFont="1" applyBorder="1" applyAlignment="1">
      <alignment horizontal="center" vertical="center"/>
    </xf>
    <xf numFmtId="0" fontId="3" fillId="0" borderId="6"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left" vertical="center" indent="2"/>
    </xf>
    <xf numFmtId="9" fontId="2" fillId="0" borderId="6" xfId="0" applyNumberFormat="1" applyFont="1" applyBorder="1" applyAlignment="1">
      <alignment horizontal="center" vertical="center"/>
    </xf>
    <xf numFmtId="0" fontId="2" fillId="0" borderId="6" xfId="0" applyFont="1" applyBorder="1" applyAlignment="1">
      <alignment horizontal="center"/>
    </xf>
    <xf numFmtId="0" fontId="3" fillId="0" borderId="6" xfId="0" applyFont="1" applyBorder="1" applyAlignment="1">
      <alignment horizontal="left" vertical="center" indent="1"/>
    </xf>
    <xf numFmtId="165" fontId="3" fillId="0" borderId="6" xfId="0" applyNumberFormat="1" applyFont="1" applyBorder="1" applyAlignment="1">
      <alignment horizontal="center" vertical="center"/>
    </xf>
    <xf numFmtId="0" fontId="7" fillId="0" borderId="0" xfId="0" applyFont="1" applyAlignment="1">
      <alignment horizontal="center" vertical="top" wrapText="1"/>
    </xf>
    <xf numFmtId="0" fontId="6" fillId="0" borderId="0" xfId="0" applyFont="1" applyAlignment="1">
      <alignment horizontal="center" vertical="center" wrapText="1"/>
    </xf>
    <xf numFmtId="0" fontId="6" fillId="0" borderId="6" xfId="0" applyFont="1" applyBorder="1" applyAlignment="1">
      <alignment horizontal="left" vertical="center" indent="1"/>
    </xf>
    <xf numFmtId="0" fontId="5" fillId="0" borderId="6" xfId="0" applyFont="1" applyBorder="1" applyAlignment="1">
      <alignment horizontal="left" vertical="center" indent="2"/>
    </xf>
    <xf numFmtId="0" fontId="6" fillId="0" borderId="6"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1" fontId="2" fillId="0" borderId="1" xfId="0" applyNumberFormat="1" applyFont="1" applyBorder="1" applyAlignment="1">
      <alignment horizontal="center" vertical="center"/>
    </xf>
    <xf numFmtId="0" fontId="3" fillId="0" borderId="6" xfId="0" applyFont="1" applyBorder="1" applyAlignment="1">
      <alignment vertical="center" wrapText="1"/>
    </xf>
    <xf numFmtId="0" fontId="6" fillId="0" borderId="5" xfId="0" applyFont="1" applyBorder="1" applyAlignment="1">
      <alignment horizontal="left" vertical="center" indent="1"/>
    </xf>
    <xf numFmtId="9" fontId="0" fillId="0" borderId="9"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12" fillId="3" borderId="2" xfId="0" applyFont="1" applyFill="1" applyBorder="1" applyAlignment="1">
      <alignment vertical="center" wrapText="1"/>
    </xf>
    <xf numFmtId="0" fontId="0" fillId="3" borderId="2" xfId="0" applyFill="1" applyBorder="1" applyAlignment="1">
      <alignment horizontal="left" vertical="center" wrapText="1" indent="1"/>
    </xf>
    <xf numFmtId="0" fontId="12" fillId="0" borderId="1" xfId="0" applyFont="1" applyBorder="1" applyAlignment="1">
      <alignment vertical="center"/>
    </xf>
    <xf numFmtId="9" fontId="0" fillId="0" borderId="1" xfId="0" applyNumberFormat="1" applyBorder="1" applyAlignment="1">
      <alignment horizontal="left" vertical="center" wrapText="1" indent="1"/>
    </xf>
    <xf numFmtId="0" fontId="12" fillId="0" borderId="1" xfId="0" applyFont="1" applyBorder="1" applyAlignment="1">
      <alignment horizontal="left" vertical="center"/>
    </xf>
    <xf numFmtId="0" fontId="0" fillId="0" borderId="1" xfId="0" applyBorder="1" applyAlignment="1">
      <alignment horizontal="left" vertical="center" wrapText="1" indent="1"/>
    </xf>
    <xf numFmtId="0" fontId="5"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vertical="top" wrapText="1"/>
    </xf>
    <xf numFmtId="0" fontId="9" fillId="0" borderId="0" xfId="0" applyFont="1" applyAlignment="1" applyProtection="1">
      <alignment vertical="center" wrapText="1"/>
      <protection locked="0"/>
    </xf>
    <xf numFmtId="165" fontId="6" fillId="0" borderId="5" xfId="1" applyNumberFormat="1" applyFont="1" applyFill="1" applyBorder="1" applyAlignment="1">
      <alignment horizontal="center" vertical="center" wrapText="1"/>
    </xf>
    <xf numFmtId="0" fontId="17" fillId="0" borderId="1" xfId="0" applyFont="1" applyBorder="1" applyAlignment="1">
      <alignment horizontal="center" vertical="center" wrapText="1"/>
    </xf>
    <xf numFmtId="0" fontId="4" fillId="0" borderId="2" xfId="0" applyFont="1" applyBorder="1" applyAlignment="1">
      <alignment horizontal="left" vertical="center" wrapText="1"/>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18" fillId="0" borderId="0" xfId="0" applyFont="1" applyAlignment="1">
      <alignment vertical="center" wrapText="1"/>
    </xf>
    <xf numFmtId="0" fontId="17" fillId="0" borderId="0" xfId="0" applyFont="1" applyAlignment="1">
      <alignment wrapText="1"/>
    </xf>
    <xf numFmtId="0" fontId="18" fillId="2" borderId="1" xfId="0" applyFont="1" applyFill="1" applyBorder="1" applyAlignment="1">
      <alignment horizontal="left" vertical="center" wrapText="1"/>
    </xf>
    <xf numFmtId="0" fontId="17" fillId="0" borderId="0" xfId="0" applyFont="1" applyAlignment="1">
      <alignment vertical="center" wrapText="1"/>
    </xf>
    <xf numFmtId="3" fontId="17"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9" fillId="4" borderId="1" xfId="0" applyFont="1" applyFill="1" applyBorder="1" applyAlignment="1">
      <alignment vertical="center" wrapText="1"/>
    </xf>
    <xf numFmtId="0" fontId="18" fillId="0" borderId="0" xfId="0" applyFont="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5" fillId="5" borderId="0" xfId="0" applyFont="1" applyFill="1" applyAlignment="1">
      <alignment vertical="center" wrapText="1"/>
    </xf>
    <xf numFmtId="0" fontId="3" fillId="5" borderId="0" xfId="0" applyFont="1" applyFill="1" applyAlignment="1">
      <alignment vertical="center" wrapText="1"/>
    </xf>
    <xf numFmtId="0" fontId="16" fillId="5" borderId="0" xfId="0" applyFont="1" applyFill="1" applyAlignment="1">
      <alignment vertical="center" wrapText="1"/>
    </xf>
    <xf numFmtId="0" fontId="2" fillId="5" borderId="0" xfId="0" applyFont="1" applyFill="1" applyAlignment="1">
      <alignment vertical="center" wrapText="1"/>
    </xf>
    <xf numFmtId="0" fontId="17" fillId="7" borderId="1" xfId="0" applyFont="1" applyFill="1" applyBorder="1" applyAlignment="1">
      <alignment horizontal="left" vertical="center" wrapText="1"/>
    </xf>
    <xf numFmtId="0" fontId="17" fillId="7" borderId="1" xfId="0" applyFont="1" applyFill="1" applyBorder="1" applyAlignment="1" applyProtection="1">
      <alignment horizontal="left" vertical="center" wrapText="1"/>
      <protection locked="0"/>
    </xf>
    <xf numFmtId="0" fontId="17" fillId="7" borderId="10" xfId="0" applyFont="1" applyFill="1" applyBorder="1" applyAlignment="1">
      <alignment horizontal="left" vertical="center" wrapText="1"/>
    </xf>
    <xf numFmtId="0" fontId="19" fillId="0" borderId="0" xfId="0" applyFont="1" applyAlignment="1">
      <alignment vertical="top" wrapText="1"/>
    </xf>
    <xf numFmtId="0" fontId="19" fillId="0" borderId="0" xfId="0" applyFont="1" applyAlignment="1">
      <alignment horizontal="center" vertical="center" wrapText="1"/>
    </xf>
    <xf numFmtId="0" fontId="20" fillId="0" borderId="0" xfId="0" applyFont="1" applyAlignment="1" applyProtection="1">
      <alignment vertical="center" wrapText="1"/>
      <protection locked="0"/>
    </xf>
    <xf numFmtId="0" fontId="2" fillId="6"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18" fillId="0" borderId="0" xfId="0" applyFont="1" applyAlignment="1">
      <alignment horizontal="left" vertical="center" wrapText="1"/>
    </xf>
    <xf numFmtId="0" fontId="15" fillId="5" borderId="0" xfId="0" applyFont="1" applyFill="1" applyAlignment="1">
      <alignment vertical="center" wrapText="1"/>
    </xf>
    <xf numFmtId="164" fontId="5" fillId="0" borderId="1" xfId="0" applyNumberFormat="1" applyFont="1" applyBorder="1" applyAlignment="1">
      <alignment horizontal="center" vertical="center" wrapText="1"/>
    </xf>
    <xf numFmtId="0" fontId="5" fillId="6" borderId="0" xfId="0" applyFont="1" applyFill="1" applyAlignment="1">
      <alignment horizontal="center" vertical="center" wrapText="1"/>
    </xf>
    <xf numFmtId="0" fontId="17" fillId="0" borderId="0" xfId="0" applyFont="1" applyAlignment="1">
      <alignment horizontal="left" vertical="center" wrapText="1"/>
    </xf>
    <xf numFmtId="9" fontId="3" fillId="0" borderId="0" xfId="1" applyFont="1" applyAlignment="1">
      <alignment horizontal="center" vertical="center" wrapText="1"/>
    </xf>
    <xf numFmtId="0" fontId="17" fillId="0" borderId="0" xfId="0" applyFont="1" applyAlignment="1">
      <alignment horizontal="center" vertical="center" wrapText="1"/>
    </xf>
    <xf numFmtId="0" fontId="17" fillId="0" borderId="1" xfId="0" applyFont="1" applyBorder="1" applyAlignment="1">
      <alignment horizontal="center" wrapText="1"/>
    </xf>
    <xf numFmtId="0" fontId="17" fillId="0" borderId="0" xfId="0" applyFont="1" applyAlignment="1">
      <alignment horizontal="center" wrapText="1"/>
    </xf>
    <xf numFmtId="0" fontId="3" fillId="0" borderId="0" xfId="0" applyFont="1" applyAlignment="1">
      <alignment horizontal="center" vertical="center" wrapText="1"/>
    </xf>
    <xf numFmtId="0" fontId="15" fillId="7" borderId="0" xfId="0" applyFont="1" applyFill="1" applyAlignment="1">
      <alignment vertical="center" wrapText="1"/>
    </xf>
    <xf numFmtId="164" fontId="3" fillId="0" borderId="0" xfId="0" applyNumberFormat="1" applyFont="1" applyAlignment="1">
      <alignment horizontal="center" vertical="center" wrapText="1"/>
    </xf>
    <xf numFmtId="165" fontId="3" fillId="0" borderId="0" xfId="1" applyNumberFormat="1" applyFont="1" applyFill="1" applyBorder="1" applyAlignment="1">
      <alignment horizontal="center" vertical="center" wrapText="1"/>
    </xf>
    <xf numFmtId="0" fontId="2" fillId="0" borderId="0" xfId="0" applyFont="1" applyAlignment="1">
      <alignment horizontal="left" vertical="center" wrapText="1"/>
    </xf>
    <xf numFmtId="164" fontId="2" fillId="0" borderId="0" xfId="0" applyNumberFormat="1" applyFont="1" applyAlignment="1">
      <alignment horizontal="center" vertical="center" wrapText="1"/>
    </xf>
    <xf numFmtId="9" fontId="2" fillId="0" borderId="0" xfId="1" applyFont="1" applyFill="1" applyAlignment="1">
      <alignment horizontal="center" vertical="center" wrapText="1"/>
    </xf>
    <xf numFmtId="0" fontId="2" fillId="7" borderId="1" xfId="0" applyFont="1" applyFill="1" applyBorder="1" applyAlignment="1" applyProtection="1">
      <alignment horizontal="center" vertical="center" wrapText="1"/>
      <protection locked="0"/>
    </xf>
    <xf numFmtId="9" fontId="2" fillId="7" borderId="1" xfId="1" applyFont="1" applyFill="1" applyBorder="1" applyAlignment="1" applyProtection="1">
      <alignment horizontal="center" vertical="center" wrapText="1"/>
      <protection locked="0"/>
    </xf>
    <xf numFmtId="9" fontId="3" fillId="0" borderId="0" xfId="1" applyFont="1" applyFill="1" applyAlignment="1">
      <alignment horizontal="center" vertical="center" wrapText="1"/>
    </xf>
    <xf numFmtId="0" fontId="2" fillId="5" borderId="1" xfId="0" applyFont="1" applyFill="1" applyBorder="1" applyAlignment="1">
      <alignment horizontal="center" vertical="center" wrapText="1"/>
    </xf>
    <xf numFmtId="14" fontId="17" fillId="7" borderId="1" xfId="0" applyNumberFormat="1" applyFont="1" applyFill="1" applyBorder="1" applyAlignment="1" applyProtection="1">
      <alignment horizontal="left" vertical="center" wrapText="1"/>
      <protection locked="0"/>
    </xf>
    <xf numFmtId="0" fontId="12" fillId="5" borderId="3"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2" fillId="0" borderId="9" xfId="0" applyFont="1" applyBorder="1" applyAlignment="1">
      <alignment horizontal="left" vertical="center" wrapText="1"/>
    </xf>
    <xf numFmtId="0" fontId="12" fillId="0" borderId="2" xfId="0" applyFont="1" applyBorder="1" applyAlignment="1">
      <alignment horizontal="left" vertical="center" wrapText="1"/>
    </xf>
    <xf numFmtId="0" fontId="18" fillId="0" borderId="0" xfId="0" applyFont="1" applyAlignment="1">
      <alignment horizontal="left" vertical="center" wrapText="1"/>
    </xf>
    <xf numFmtId="0" fontId="17" fillId="0" borderId="0" xfId="0" applyFont="1" applyAlignment="1">
      <alignment horizontal="left" vertical="center" wrapText="1"/>
    </xf>
    <xf numFmtId="0" fontId="4" fillId="7" borderId="3" xfId="0" applyFont="1" applyFill="1" applyBorder="1" applyAlignment="1" applyProtection="1">
      <alignment horizontal="left" vertical="center" wrapText="1"/>
      <protection locked="0"/>
    </xf>
    <xf numFmtId="0" fontId="4" fillId="7" borderId="8" xfId="0" applyFont="1" applyFill="1" applyBorder="1" applyAlignment="1" applyProtection="1">
      <alignment horizontal="left" vertical="center" wrapText="1"/>
      <protection locked="0"/>
    </xf>
    <xf numFmtId="0" fontId="20" fillId="0" borderId="0" xfId="0" applyFont="1" applyAlignment="1">
      <alignment horizontal="left"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4" fillId="0" borderId="6" xfId="0" applyFont="1" applyBorder="1" applyAlignment="1">
      <alignment horizontal="left" vertical="center" wrapText="1"/>
    </xf>
    <xf numFmtId="0" fontId="6" fillId="0" borderId="0" xfId="0" applyFont="1" applyAlignment="1">
      <alignment horizontal="center" vertical="top" wrapText="1"/>
    </xf>
    <xf numFmtId="14" fontId="4" fillId="7" borderId="3" xfId="0" applyNumberFormat="1" applyFont="1" applyFill="1" applyBorder="1" applyAlignment="1" applyProtection="1">
      <alignment horizontal="left" vertical="center" wrapText="1"/>
      <protection locked="0"/>
    </xf>
    <xf numFmtId="14" fontId="4" fillId="7" borderId="8" xfId="0" applyNumberFormat="1" applyFont="1" applyFill="1" applyBorder="1" applyAlignment="1" applyProtection="1">
      <alignment horizontal="left" vertical="center" wrapText="1"/>
      <protection locked="0"/>
    </xf>
    <xf numFmtId="0" fontId="19" fillId="0" borderId="0" xfId="0" applyFont="1" applyAlignment="1">
      <alignment horizontal="left" vertical="center" wrapText="1"/>
    </xf>
    <xf numFmtId="0" fontId="4" fillId="0" borderId="0" xfId="0" applyFont="1" applyAlignment="1">
      <alignment horizontal="left" vertical="center" wrapText="1"/>
    </xf>
    <xf numFmtId="0" fontId="7" fillId="0" borderId="0" xfId="0" applyFont="1" applyAlignment="1">
      <alignment horizontal="center" vertical="top"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left" vertical="center"/>
    </xf>
    <xf numFmtId="0" fontId="9" fillId="0" borderId="6" xfId="0" applyFont="1" applyBorder="1" applyAlignment="1">
      <alignment horizontal="left" vertical="center"/>
    </xf>
  </cellXfs>
  <cellStyles count="2">
    <cellStyle name="Normal" xfId="0" builtinId="0"/>
    <cellStyle name="Porcentagem" xfId="1" builtinId="5"/>
  </cellStyles>
  <dxfs count="1">
    <dxf>
      <font>
        <color theme="0" tint="-4.9989318521683403E-2"/>
      </font>
    </dxf>
  </dxfs>
  <tableStyles count="0" defaultTableStyle="TableStyleMedium2" defaultPivotStyle="PivotStyleLight16"/>
  <colors>
    <mruColors>
      <color rgb="FFE0E0E0"/>
      <color rgb="FFDEDEDE"/>
      <color rgb="FFFFCCFF"/>
      <color rgb="FFE7F6FF"/>
      <color rgb="FFE2E2E2"/>
      <color rgb="FFDDF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2" name="Imagem 1">
          <a:extLst>
            <a:ext uri="{FF2B5EF4-FFF2-40B4-BE49-F238E27FC236}">
              <a16:creationId xmlns:a16="http://schemas.microsoft.com/office/drawing/2014/main" id="{0363E323-5E02-445C-861D-9DA882F59A8E}"/>
            </a:ext>
          </a:extLst>
        </xdr:cNvPr>
        <xdr:cNvPicPr>
          <a:picLocks noChangeAspect="1"/>
        </xdr:cNvPicPr>
      </xdr:nvPicPr>
      <xdr:blipFill>
        <a:blip xmlns:r="http://schemas.openxmlformats.org/officeDocument/2006/relationships" r:embed="rId1"/>
        <a:stretch>
          <a:fillRect/>
        </a:stretch>
      </xdr:blipFill>
      <xdr:spPr>
        <a:xfrm>
          <a:off x="351367" y="14962721"/>
          <a:ext cx="11764582"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3" name="Imagem 2">
          <a:extLst>
            <a:ext uri="{FF2B5EF4-FFF2-40B4-BE49-F238E27FC236}">
              <a16:creationId xmlns:a16="http://schemas.microsoft.com/office/drawing/2014/main" id="{41345689-0BED-4EB0-A92B-F46516C07F15}"/>
            </a:ext>
          </a:extLst>
        </xdr:cNvPr>
        <xdr:cNvPicPr>
          <a:picLocks noChangeAspect="1"/>
        </xdr:cNvPicPr>
      </xdr:nvPicPr>
      <xdr:blipFill>
        <a:blip xmlns:r="http://schemas.openxmlformats.org/officeDocument/2006/relationships" r:embed="rId2"/>
        <a:stretch>
          <a:fillRect/>
        </a:stretch>
      </xdr:blipFill>
      <xdr:spPr>
        <a:xfrm>
          <a:off x="7807908" y="11895667"/>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4" name="Imagem 3">
          <a:extLst>
            <a:ext uri="{FF2B5EF4-FFF2-40B4-BE49-F238E27FC236}">
              <a16:creationId xmlns:a16="http://schemas.microsoft.com/office/drawing/2014/main" id="{4EAF090B-31E8-4F69-B10F-9D5E987F1C4C}"/>
            </a:ext>
          </a:extLst>
        </xdr:cNvPr>
        <xdr:cNvPicPr>
          <a:picLocks noChangeAspect="1"/>
        </xdr:cNvPicPr>
      </xdr:nvPicPr>
      <xdr:blipFill>
        <a:blip xmlns:r="http://schemas.openxmlformats.org/officeDocument/2006/relationships" r:embed="rId3"/>
        <a:stretch>
          <a:fillRect/>
        </a:stretch>
      </xdr:blipFill>
      <xdr:spPr>
        <a:xfrm>
          <a:off x="7807908" y="12181417"/>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5" name="Imagem 4">
          <a:extLst>
            <a:ext uri="{FF2B5EF4-FFF2-40B4-BE49-F238E27FC236}">
              <a16:creationId xmlns:a16="http://schemas.microsoft.com/office/drawing/2014/main" id="{A9EDBE78-B449-4E07-A572-5872F7498DB2}"/>
            </a:ext>
          </a:extLst>
        </xdr:cNvPr>
        <xdr:cNvPicPr>
          <a:picLocks noChangeAspect="1"/>
        </xdr:cNvPicPr>
      </xdr:nvPicPr>
      <xdr:blipFill>
        <a:blip xmlns:r="http://schemas.openxmlformats.org/officeDocument/2006/relationships" r:embed="rId4"/>
        <a:stretch>
          <a:fillRect/>
        </a:stretch>
      </xdr:blipFill>
      <xdr:spPr>
        <a:xfrm>
          <a:off x="7807908" y="12438592"/>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6" name="Imagem 5">
          <a:extLst>
            <a:ext uri="{FF2B5EF4-FFF2-40B4-BE49-F238E27FC236}">
              <a16:creationId xmlns:a16="http://schemas.microsoft.com/office/drawing/2014/main" id="{B0FF0E2B-AED4-484E-B347-DC17CABB8A3B}"/>
            </a:ext>
          </a:extLst>
        </xdr:cNvPr>
        <xdr:cNvPicPr>
          <a:picLocks noChangeAspect="1"/>
        </xdr:cNvPicPr>
      </xdr:nvPicPr>
      <xdr:blipFill>
        <a:blip xmlns:r="http://schemas.openxmlformats.org/officeDocument/2006/relationships" r:embed="rId5"/>
        <a:stretch>
          <a:fillRect/>
        </a:stretch>
      </xdr:blipFill>
      <xdr:spPr>
        <a:xfrm>
          <a:off x="7807908" y="12714817"/>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7" name="Imagem 6">
          <a:extLst>
            <a:ext uri="{FF2B5EF4-FFF2-40B4-BE49-F238E27FC236}">
              <a16:creationId xmlns:a16="http://schemas.microsoft.com/office/drawing/2014/main" id="{B314C0F2-B637-4E2B-8D63-4D12424E22A9}"/>
            </a:ext>
          </a:extLst>
        </xdr:cNvPr>
        <xdr:cNvPicPr>
          <a:picLocks noChangeAspect="1"/>
        </xdr:cNvPicPr>
      </xdr:nvPicPr>
      <xdr:blipFill>
        <a:blip xmlns:r="http://schemas.openxmlformats.org/officeDocument/2006/relationships" r:embed="rId6"/>
        <a:stretch>
          <a:fillRect/>
        </a:stretch>
      </xdr:blipFill>
      <xdr:spPr>
        <a:xfrm>
          <a:off x="7798383" y="11628967"/>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8" name="Imagem 7">
          <a:extLst>
            <a:ext uri="{FF2B5EF4-FFF2-40B4-BE49-F238E27FC236}">
              <a16:creationId xmlns:a16="http://schemas.microsoft.com/office/drawing/2014/main" id="{A6D48817-4EE8-416B-8E81-78F34E4ECF5B}"/>
            </a:ext>
          </a:extLst>
        </xdr:cNvPr>
        <xdr:cNvPicPr>
          <a:picLocks noChangeAspect="1"/>
        </xdr:cNvPicPr>
      </xdr:nvPicPr>
      <xdr:blipFill>
        <a:blip xmlns:r="http://schemas.openxmlformats.org/officeDocument/2006/relationships" r:embed="rId7"/>
        <a:stretch>
          <a:fillRect/>
        </a:stretch>
      </xdr:blipFill>
      <xdr:spPr>
        <a:xfrm>
          <a:off x="1741030" y="11366500"/>
          <a:ext cx="2823560"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65437B8F-F636-48BB-A1C9-31D9008A3CDC}"/>
            </a:ext>
          </a:extLst>
        </xdr:cNvPr>
        <xdr:cNvSpPr/>
      </xdr:nvSpPr>
      <xdr:spPr>
        <a:xfrm>
          <a:off x="4689625" y="12185042"/>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E76D04E6-087E-432B-84A5-ADB8200D9463}"/>
            </a:ext>
          </a:extLst>
        </xdr:cNvPr>
        <xdr:cNvCxnSpPr>
          <a:stCxn id="12" idx="0"/>
        </xdr:cNvCxnSpPr>
      </xdr:nvCxnSpPr>
      <xdr:spPr>
        <a:xfrm flipV="1">
          <a:off x="595994" y="13694833"/>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1" name="Retângulo 10">
          <a:extLst>
            <a:ext uri="{FF2B5EF4-FFF2-40B4-BE49-F238E27FC236}">
              <a16:creationId xmlns:a16="http://schemas.microsoft.com/office/drawing/2014/main" id="{7CB3F574-65AD-4EB4-B88A-54FB0C5024B7}"/>
            </a:ext>
          </a:extLst>
        </xdr:cNvPr>
        <xdr:cNvSpPr/>
      </xdr:nvSpPr>
      <xdr:spPr>
        <a:xfrm>
          <a:off x="2810934" y="12746568"/>
          <a:ext cx="716491"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2" name="Retângulo 11">
          <a:extLst>
            <a:ext uri="{FF2B5EF4-FFF2-40B4-BE49-F238E27FC236}">
              <a16:creationId xmlns:a16="http://schemas.microsoft.com/office/drawing/2014/main" id="{CEEDD20F-79BD-47EC-ABCA-3CE7B3623D99}"/>
            </a:ext>
          </a:extLst>
        </xdr:cNvPr>
        <xdr:cNvSpPr/>
      </xdr:nvSpPr>
      <xdr:spPr>
        <a:xfrm>
          <a:off x="381001" y="15441083"/>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3" name="Conector de Seta Reta 12">
          <a:extLst>
            <a:ext uri="{FF2B5EF4-FFF2-40B4-BE49-F238E27FC236}">
              <a16:creationId xmlns:a16="http://schemas.microsoft.com/office/drawing/2014/main" id="{5F18E742-C5BF-40B4-B8A0-21F99728FA2F}"/>
            </a:ext>
          </a:extLst>
        </xdr:cNvPr>
        <xdr:cNvCxnSpPr>
          <a:stCxn id="14" idx="0"/>
          <a:endCxn id="16" idx="2"/>
        </xdr:cNvCxnSpPr>
      </xdr:nvCxnSpPr>
      <xdr:spPr>
        <a:xfrm flipH="1" flipV="1">
          <a:off x="9209444" y="12962466"/>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14" name="Retângulo 13">
          <a:extLst>
            <a:ext uri="{FF2B5EF4-FFF2-40B4-BE49-F238E27FC236}">
              <a16:creationId xmlns:a16="http://schemas.microsoft.com/office/drawing/2014/main" id="{489C1703-51AA-4575-B9F3-195BC4D54B96}"/>
            </a:ext>
          </a:extLst>
        </xdr:cNvPr>
        <xdr:cNvSpPr/>
      </xdr:nvSpPr>
      <xdr:spPr>
        <a:xfrm>
          <a:off x="8150225" y="13271499"/>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15" name="Retângulo 14">
          <a:extLst>
            <a:ext uri="{FF2B5EF4-FFF2-40B4-BE49-F238E27FC236}">
              <a16:creationId xmlns:a16="http://schemas.microsoft.com/office/drawing/2014/main" id="{372F9E2F-01C8-45D5-9688-4B4D8EF54919}"/>
            </a:ext>
          </a:extLst>
        </xdr:cNvPr>
        <xdr:cNvSpPr/>
      </xdr:nvSpPr>
      <xdr:spPr>
        <a:xfrm>
          <a:off x="8893175" y="14975416"/>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16" name="Retângulo 15">
          <a:extLst>
            <a:ext uri="{FF2B5EF4-FFF2-40B4-BE49-F238E27FC236}">
              <a16:creationId xmlns:a16="http://schemas.microsoft.com/office/drawing/2014/main" id="{500AB494-0117-4790-8860-DF9AC747DAAC}"/>
            </a:ext>
          </a:extLst>
        </xdr:cNvPr>
        <xdr:cNvSpPr/>
      </xdr:nvSpPr>
      <xdr:spPr>
        <a:xfrm>
          <a:off x="8627966" y="11638491"/>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17" name="Conector de Seta Reta 16">
          <a:extLst>
            <a:ext uri="{FF2B5EF4-FFF2-40B4-BE49-F238E27FC236}">
              <a16:creationId xmlns:a16="http://schemas.microsoft.com/office/drawing/2014/main" id="{980837A3-85B1-4F7E-B089-CECD977A93D6}"/>
            </a:ext>
          </a:extLst>
        </xdr:cNvPr>
        <xdr:cNvCxnSpPr>
          <a:stCxn id="15" idx="0"/>
          <a:endCxn id="14" idx="2"/>
        </xdr:cNvCxnSpPr>
      </xdr:nvCxnSpPr>
      <xdr:spPr>
        <a:xfrm flipH="1" flipV="1">
          <a:off x="9717088" y="14591241"/>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18" name="Conector de Seta Reta 17">
          <a:extLst>
            <a:ext uri="{FF2B5EF4-FFF2-40B4-BE49-F238E27FC236}">
              <a16:creationId xmlns:a16="http://schemas.microsoft.com/office/drawing/2014/main" id="{9AE48F97-C5E1-4928-9004-214F12763476}"/>
            </a:ext>
          </a:extLst>
        </xdr:cNvPr>
        <xdr:cNvCxnSpPr>
          <a:stCxn id="11" idx="3"/>
          <a:endCxn id="9" idx="1"/>
        </xdr:cNvCxnSpPr>
      </xdr:nvCxnSpPr>
      <xdr:spPr>
        <a:xfrm flipV="1">
          <a:off x="3527425" y="12610229"/>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19" name="Imagem 18">
          <a:extLst>
            <a:ext uri="{FF2B5EF4-FFF2-40B4-BE49-F238E27FC236}">
              <a16:creationId xmlns:a16="http://schemas.microsoft.com/office/drawing/2014/main" id="{305305F9-07B1-4BD0-BFBD-2F7A800020F8}"/>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3513666</xdr:colOff>
      <xdr:row>4</xdr:row>
      <xdr:rowOff>63500</xdr:rowOff>
    </xdr:from>
    <xdr:to>
      <xdr:col>11</xdr:col>
      <xdr:colOff>674613</xdr:colOff>
      <xdr:row>7</xdr:row>
      <xdr:rowOff>79376</xdr:rowOff>
    </xdr:to>
    <xdr:pic>
      <xdr:nvPicPr>
        <xdr:cNvPr id="2" name="Imagem 1">
          <a:extLst>
            <a:ext uri="{FF2B5EF4-FFF2-40B4-BE49-F238E27FC236}">
              <a16:creationId xmlns:a16="http://schemas.microsoft.com/office/drawing/2014/main" id="{57666837-C730-4983-B631-1452F908FA21}"/>
            </a:ext>
          </a:extLst>
        </xdr:cNvPr>
        <xdr:cNvPicPr>
          <a:picLocks noChangeAspect="1"/>
        </xdr:cNvPicPr>
      </xdr:nvPicPr>
      <xdr:blipFill>
        <a:blip xmlns:r="http://schemas.openxmlformats.org/officeDocument/2006/relationships" r:embed="rId1"/>
        <a:stretch>
          <a:fillRect/>
        </a:stretch>
      </xdr:blipFill>
      <xdr:spPr>
        <a:xfrm>
          <a:off x="9990666" y="692150"/>
          <a:ext cx="877815" cy="7651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52EBF-8F91-41C7-8BEB-3328EF59FAB9}">
  <sheetPr>
    <tabColor theme="2" tint="-0.499984740745262"/>
  </sheetPr>
  <dimension ref="B1:C11"/>
  <sheetViews>
    <sheetView showGridLines="0" topLeftCell="B2" zoomScale="90" zoomScaleNormal="90" workbookViewId="0">
      <selection activeCell="C5" sqref="C5"/>
    </sheetView>
  </sheetViews>
  <sheetFormatPr defaultRowHeight="14.45"/>
  <cols>
    <col min="1" max="1" width="2.5703125" customWidth="1"/>
    <col min="2" max="2" width="44.140625" bestFit="1" customWidth="1"/>
    <col min="3" max="3" width="150.140625" customWidth="1"/>
    <col min="4" max="4" width="3.85546875" customWidth="1"/>
  </cols>
  <sheetData>
    <row r="1" spans="2:3" ht="6.75" customHeight="1"/>
    <row r="2" spans="2:3" ht="79.5" customHeight="1">
      <c r="B2" s="100" t="s">
        <v>0</v>
      </c>
      <c r="C2" s="101"/>
    </row>
    <row r="3" spans="2:3" ht="6.75" customHeight="1"/>
    <row r="4" spans="2:3" ht="275.45">
      <c r="B4" s="102" t="s">
        <v>1</v>
      </c>
      <c r="C4" s="38" t="s">
        <v>2</v>
      </c>
    </row>
    <row r="5" spans="2:3" ht="217.5">
      <c r="B5" s="103"/>
      <c r="C5" s="39" t="s">
        <v>3</v>
      </c>
    </row>
    <row r="6" spans="2:3">
      <c r="B6" s="40" t="s">
        <v>4</v>
      </c>
      <c r="C6" s="41" t="s">
        <v>5</v>
      </c>
    </row>
    <row r="7" spans="2:3">
      <c r="B7" s="40" t="s">
        <v>6</v>
      </c>
      <c r="C7" s="41" t="s">
        <v>7</v>
      </c>
    </row>
    <row r="8" spans="2:3" ht="49.5" customHeight="1">
      <c r="B8" s="40" t="s">
        <v>8</v>
      </c>
      <c r="C8" s="41" t="s">
        <v>9</v>
      </c>
    </row>
    <row r="9" spans="2:3" ht="130.5">
      <c r="B9" s="40" t="s">
        <v>10</v>
      </c>
      <c r="C9" s="41" t="s">
        <v>11</v>
      </c>
    </row>
    <row r="10" spans="2:3" ht="43.5">
      <c r="B10" s="42" t="s">
        <v>12</v>
      </c>
      <c r="C10" s="43" t="s">
        <v>13</v>
      </c>
    </row>
    <row r="11" spans="2:3" ht="30" customHeight="1">
      <c r="B11" s="44" t="s">
        <v>14</v>
      </c>
      <c r="C11" s="45" t="s">
        <v>15</v>
      </c>
    </row>
  </sheetData>
  <sheetProtection algorithmName="SHA-512" hashValue="sZCK78e8NSm/jT7EOU7cNpDWiNJwVaFSZYr2Xh1GEL7wYR92pEktmNqT1O/vshm3kUfVAjpo2ilM2SG5LG0Cyg==" saltValue="mh6vrxJ3RTYehTVCOEW2jg==" spinCount="100000" sheet="1" objects="1" scenarios="1" selectLockedCells="1"/>
  <mergeCells count="2">
    <mergeCell ref="B2:C2"/>
    <mergeCell ref="B4:B5"/>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77B73-538A-4AD5-A460-DBC7DD88666B}">
  <sheetPr>
    <tabColor theme="4" tint="0.39997558519241921"/>
  </sheetPr>
  <dimension ref="C1:W262"/>
  <sheetViews>
    <sheetView showGridLines="0" tabSelected="1" zoomScale="70" zoomScaleNormal="70" zoomScaleSheetLayoutView="50" workbookViewId="0">
      <selection activeCell="H5" sqref="H5:I5"/>
    </sheetView>
  </sheetViews>
  <sheetFormatPr defaultColWidth="9.140625" defaultRowHeight="12"/>
  <cols>
    <col min="1" max="1" width="1.140625" style="3" customWidth="1"/>
    <col min="2" max="2" width="0.85546875" style="3" customWidth="1"/>
    <col min="3" max="3" width="6.85546875" style="12" bestFit="1" customWidth="1"/>
    <col min="4" max="4" width="4.140625" style="12" hidden="1" customWidth="1"/>
    <col min="5" max="5" width="4" style="12" bestFit="1" customWidth="1"/>
    <col min="6" max="6" width="9.85546875" style="12" bestFit="1" customWidth="1"/>
    <col min="7" max="7" width="8.140625" style="12" hidden="1" customWidth="1"/>
    <col min="8" max="8" width="12.140625" style="12" customWidth="1"/>
    <col min="9" max="9" width="60.85546875" style="3" customWidth="1"/>
    <col min="10" max="10" width="0.85546875" style="3" customWidth="1"/>
    <col min="11" max="11" width="55.85546875" style="10" customWidth="1"/>
    <col min="12" max="12" width="13.140625" style="10" customWidth="1"/>
    <col min="13" max="13" width="30.85546875" style="10" customWidth="1"/>
    <col min="14" max="14" width="0.5703125" style="68" customWidth="1"/>
    <col min="15" max="15" width="5.140625" style="10" customWidth="1"/>
    <col min="16" max="16" width="6.42578125" style="10" customWidth="1"/>
    <col min="17" max="17" width="6.140625" style="10" customWidth="1"/>
    <col min="18" max="18" width="8.140625" style="10" hidden="1" customWidth="1"/>
    <col min="19" max="19" width="0.85546875" style="3" hidden="1" customWidth="1"/>
    <col min="20" max="20" width="1.140625" style="3" hidden="1" customWidth="1"/>
    <col min="21" max="21" width="1.85546875" style="3" hidden="1" customWidth="1"/>
    <col min="22" max="22" width="2.140625" style="3" hidden="1" customWidth="1"/>
    <col min="23" max="23" width="9.140625" style="3" hidden="1" customWidth="1"/>
    <col min="24" max="24" width="2.140625" style="3" customWidth="1"/>
    <col min="25" max="16384" width="9.140625" style="3"/>
  </cols>
  <sheetData>
    <row r="1" spans="3:23" s="47" customFormat="1" ht="6" customHeight="1">
      <c r="C1" s="46"/>
      <c r="D1" s="46"/>
      <c r="E1" s="46"/>
      <c r="F1" s="46"/>
      <c r="G1" s="46"/>
      <c r="H1" s="46"/>
      <c r="N1" s="65"/>
    </row>
    <row r="2" spans="3:23" s="47" customFormat="1" ht="15" customHeight="1">
      <c r="C2" s="108" t="s">
        <v>16</v>
      </c>
      <c r="D2" s="108"/>
      <c r="E2" s="108"/>
      <c r="F2" s="108"/>
      <c r="G2" s="72"/>
      <c r="H2" s="117" t="s">
        <v>17</v>
      </c>
      <c r="I2" s="117"/>
      <c r="K2" s="118" t="s">
        <v>18</v>
      </c>
      <c r="L2" s="118"/>
      <c r="M2" s="118"/>
      <c r="N2" s="118"/>
      <c r="O2" s="118"/>
      <c r="P2" s="118"/>
      <c r="Q2" s="118"/>
      <c r="R2" s="48"/>
    </row>
    <row r="3" spans="3:23" s="47" customFormat="1" ht="14.25" customHeight="1">
      <c r="C3" s="108" t="s">
        <v>19</v>
      </c>
      <c r="D3" s="108"/>
      <c r="E3" s="108"/>
      <c r="F3" s="108"/>
      <c r="G3" s="73"/>
      <c r="H3" s="106"/>
      <c r="I3" s="107"/>
      <c r="K3" s="118"/>
      <c r="L3" s="118"/>
      <c r="M3" s="118"/>
      <c r="N3" s="118"/>
      <c r="O3" s="118"/>
      <c r="P3" s="118"/>
      <c r="Q3" s="118"/>
      <c r="R3" s="29"/>
    </row>
    <row r="4" spans="3:23" s="47" customFormat="1" ht="14.25" customHeight="1">
      <c r="C4" s="108" t="s">
        <v>20</v>
      </c>
      <c r="D4" s="108"/>
      <c r="E4" s="108"/>
      <c r="F4" s="108"/>
      <c r="G4" s="73"/>
      <c r="H4" s="106" t="s">
        <v>21</v>
      </c>
      <c r="I4" s="107"/>
      <c r="K4" s="118"/>
      <c r="L4" s="118"/>
      <c r="M4" s="118"/>
      <c r="N4" s="118"/>
      <c r="O4" s="118"/>
      <c r="P4" s="118"/>
      <c r="Q4" s="118"/>
      <c r="R4" s="29"/>
    </row>
    <row r="5" spans="3:23" s="47" customFormat="1" ht="14.25" customHeight="1">
      <c r="C5" s="108" t="s">
        <v>22</v>
      </c>
      <c r="D5" s="108"/>
      <c r="E5" s="108"/>
      <c r="F5" s="108"/>
      <c r="G5" s="73"/>
      <c r="H5" s="106" t="s">
        <v>23</v>
      </c>
      <c r="I5" s="107"/>
      <c r="K5" s="118"/>
      <c r="L5" s="118"/>
      <c r="M5" s="118"/>
      <c r="N5" s="118"/>
      <c r="O5" s="118"/>
      <c r="P5" s="118"/>
      <c r="Q5" s="118"/>
      <c r="R5" s="29"/>
    </row>
    <row r="6" spans="3:23" s="47" customFormat="1" ht="14.25" customHeight="1">
      <c r="C6" s="108" t="s">
        <v>24</v>
      </c>
      <c r="D6" s="108"/>
      <c r="E6" s="108"/>
      <c r="F6" s="108"/>
      <c r="G6" s="74"/>
      <c r="H6" s="106" t="s">
        <v>25</v>
      </c>
      <c r="I6" s="107"/>
      <c r="K6" s="118"/>
      <c r="L6" s="118"/>
      <c r="M6" s="118"/>
      <c r="N6" s="118"/>
      <c r="O6" s="118"/>
      <c r="P6" s="118"/>
      <c r="Q6" s="118"/>
      <c r="R6" s="49"/>
      <c r="S6" s="49"/>
    </row>
    <row r="7" spans="3:23" s="47" customFormat="1" ht="30" customHeight="1">
      <c r="C7" s="108" t="s">
        <v>26</v>
      </c>
      <c r="D7" s="108"/>
      <c r="E7" s="108"/>
      <c r="F7" s="108"/>
      <c r="G7" s="74"/>
      <c r="H7" s="106" t="s">
        <v>27</v>
      </c>
      <c r="I7" s="107"/>
      <c r="K7" s="118"/>
      <c r="L7" s="118"/>
      <c r="M7" s="118"/>
      <c r="N7" s="118"/>
      <c r="O7" s="118"/>
      <c r="P7" s="118"/>
      <c r="Q7" s="118"/>
      <c r="R7" s="49"/>
      <c r="S7" s="49"/>
    </row>
    <row r="8" spans="3:23" s="47" customFormat="1" ht="14.25" customHeight="1">
      <c r="C8" s="108" t="s">
        <v>28</v>
      </c>
      <c r="D8" s="108"/>
      <c r="E8" s="108"/>
      <c r="F8" s="108"/>
      <c r="G8" s="74"/>
      <c r="H8" s="106" t="s">
        <v>29</v>
      </c>
      <c r="I8" s="107"/>
      <c r="K8" s="118"/>
      <c r="L8" s="118"/>
      <c r="M8" s="118"/>
      <c r="N8" s="118"/>
      <c r="O8" s="118"/>
      <c r="P8" s="118"/>
      <c r="Q8" s="118"/>
      <c r="R8" s="49"/>
      <c r="S8" s="49"/>
    </row>
    <row r="9" spans="3:23" s="47" customFormat="1" ht="14.25" customHeight="1">
      <c r="C9" s="108" t="s">
        <v>30</v>
      </c>
      <c r="D9" s="108"/>
      <c r="E9" s="108"/>
      <c r="F9" s="108"/>
      <c r="G9" s="74"/>
      <c r="H9" s="119" t="s">
        <v>31</v>
      </c>
      <c r="I9" s="120"/>
      <c r="K9" s="118"/>
      <c r="L9" s="118"/>
      <c r="M9" s="118"/>
      <c r="N9" s="118"/>
      <c r="O9" s="118"/>
      <c r="P9" s="118"/>
      <c r="Q9" s="118"/>
      <c r="R9" s="49"/>
      <c r="S9" s="49"/>
    </row>
    <row r="10" spans="3:23" ht="3.75" customHeight="1">
      <c r="C10" s="3"/>
      <c r="D10" s="34"/>
      <c r="E10" s="3"/>
      <c r="F10" s="3"/>
      <c r="G10" s="3"/>
      <c r="H10" s="3"/>
      <c r="J10" s="5"/>
      <c r="N10" s="66"/>
      <c r="O10" s="5"/>
      <c r="P10" s="5"/>
      <c r="Q10" s="5"/>
      <c r="R10" s="5"/>
      <c r="S10" s="5"/>
    </row>
    <row r="11" spans="3:23" ht="13.5" customHeight="1">
      <c r="C11" s="7" t="s">
        <v>32</v>
      </c>
      <c r="D11" s="7" t="s">
        <v>33</v>
      </c>
      <c r="E11" s="7" t="s">
        <v>34</v>
      </c>
      <c r="F11" s="7" t="s">
        <v>35</v>
      </c>
      <c r="G11" s="7" t="s">
        <v>36</v>
      </c>
      <c r="H11" s="7" t="s">
        <v>37</v>
      </c>
      <c r="I11" s="7" t="s">
        <v>38</v>
      </c>
      <c r="K11" s="109" t="s">
        <v>39</v>
      </c>
      <c r="L11" s="110"/>
      <c r="M11" s="111"/>
      <c r="N11" s="67"/>
      <c r="O11" s="112" t="s">
        <v>40</v>
      </c>
      <c r="P11" s="113"/>
      <c r="Q11" s="114"/>
      <c r="R11" s="55"/>
      <c r="S11" s="5"/>
    </row>
    <row r="12" spans="3:23" ht="3" customHeight="1">
      <c r="C12" s="3"/>
      <c r="D12" s="34"/>
      <c r="E12" s="3"/>
      <c r="F12" s="3"/>
      <c r="G12" s="3"/>
      <c r="H12" s="3"/>
      <c r="K12" s="58"/>
      <c r="L12" s="58"/>
      <c r="M12" s="58"/>
      <c r="N12" s="80"/>
      <c r="R12" s="58"/>
    </row>
    <row r="13" spans="3:23" ht="13.5" customHeight="1">
      <c r="C13" s="5"/>
      <c r="D13" s="77">
        <v>1</v>
      </c>
      <c r="E13" s="5"/>
      <c r="F13" s="5"/>
      <c r="G13" s="5"/>
      <c r="H13" s="5"/>
      <c r="I13" s="8" t="s">
        <v>41</v>
      </c>
      <c r="J13" s="5"/>
      <c r="K13" s="60" t="s">
        <v>42</v>
      </c>
      <c r="L13" s="60" t="s">
        <v>43</v>
      </c>
      <c r="M13" s="60" t="s">
        <v>44</v>
      </c>
      <c r="N13" s="67"/>
      <c r="O13" s="7" t="s">
        <v>45</v>
      </c>
      <c r="P13" s="7" t="s">
        <v>46</v>
      </c>
      <c r="Q13" s="7" t="s">
        <v>47</v>
      </c>
      <c r="R13" s="60" t="s">
        <v>48</v>
      </c>
      <c r="S13" s="5"/>
    </row>
    <row r="14" spans="3:23" ht="3" customHeight="1">
      <c r="C14" s="3"/>
      <c r="D14" s="34"/>
      <c r="E14" s="3"/>
      <c r="F14" s="3"/>
      <c r="G14" s="3"/>
      <c r="H14" s="3"/>
    </row>
    <row r="15" spans="3:23" ht="13.5" customHeight="1">
      <c r="C15" s="5"/>
      <c r="D15" s="77">
        <v>1</v>
      </c>
      <c r="E15" s="5"/>
      <c r="F15" s="5"/>
      <c r="G15" s="5"/>
      <c r="H15" s="5"/>
      <c r="I15" s="13" t="s">
        <v>49</v>
      </c>
      <c r="J15" s="5"/>
      <c r="S15" s="5"/>
      <c r="W15" s="7" t="s">
        <v>48</v>
      </c>
    </row>
    <row r="16" spans="3:23" ht="117.6" customHeight="1">
      <c r="C16" s="78" t="s">
        <v>50</v>
      </c>
      <c r="D16" s="51">
        <v>1</v>
      </c>
      <c r="E16" s="51" t="s">
        <v>51</v>
      </c>
      <c r="F16" s="51" t="s">
        <v>52</v>
      </c>
      <c r="G16" s="51" t="s">
        <v>53</v>
      </c>
      <c r="H16" s="51" t="s">
        <v>54</v>
      </c>
      <c r="I16" s="52" t="s">
        <v>55</v>
      </c>
      <c r="J16" s="79"/>
      <c r="K16" s="69" t="s">
        <v>56</v>
      </c>
      <c r="L16" s="70"/>
      <c r="M16" s="70"/>
      <c r="N16" s="80"/>
      <c r="O16" s="95"/>
      <c r="P16" s="96"/>
      <c r="Q16" s="77" t="str">
        <f t="shared" ref="Q16:Q26" si="0">IF($O16="N/A","",IF($P16="","",IF($P16&gt;=85%,"C","NC")))</f>
        <v/>
      </c>
      <c r="R16" s="81" t="str">
        <f t="shared" ref="R16:R26" si="1">IF($O16="N/A","",IF($P16="","",$P16*$W16))</f>
        <v/>
      </c>
      <c r="S16" s="5"/>
      <c r="T16" s="10"/>
      <c r="U16" s="10"/>
      <c r="V16" s="10"/>
      <c r="W16" s="82">
        <f t="shared" ref="W16:W26" si="2">IF(O16="N/A",0,D16)</f>
        <v>1</v>
      </c>
    </row>
    <row r="17" spans="3:23" ht="43.7" customHeight="1">
      <c r="C17" s="78" t="s">
        <v>57</v>
      </c>
      <c r="D17" s="51">
        <v>1</v>
      </c>
      <c r="E17" s="51" t="s">
        <v>58</v>
      </c>
      <c r="F17" s="51" t="s">
        <v>52</v>
      </c>
      <c r="G17" s="51" t="s">
        <v>59</v>
      </c>
      <c r="H17" s="51" t="s">
        <v>60</v>
      </c>
      <c r="I17" s="52" t="s">
        <v>61</v>
      </c>
      <c r="J17" s="79"/>
      <c r="K17" s="69"/>
      <c r="L17" s="70"/>
      <c r="M17" s="70"/>
      <c r="N17" s="80"/>
      <c r="O17" s="95"/>
      <c r="P17" s="96"/>
      <c r="Q17" s="77" t="str">
        <f t="shared" si="0"/>
        <v/>
      </c>
      <c r="R17" s="81" t="str">
        <f t="shared" si="1"/>
        <v/>
      </c>
      <c r="S17" s="5"/>
      <c r="T17" s="10"/>
      <c r="U17" s="10"/>
      <c r="V17" s="10"/>
      <c r="W17" s="82">
        <f t="shared" si="2"/>
        <v>1</v>
      </c>
    </row>
    <row r="18" spans="3:23" ht="41.45" customHeight="1">
      <c r="C18" s="78" t="s">
        <v>62</v>
      </c>
      <c r="D18" s="51">
        <v>2</v>
      </c>
      <c r="E18" s="51" t="s">
        <v>51</v>
      </c>
      <c r="F18" s="51" t="s">
        <v>52</v>
      </c>
      <c r="G18" s="51" t="s">
        <v>63</v>
      </c>
      <c r="H18" s="51" t="s">
        <v>64</v>
      </c>
      <c r="I18" s="54" t="s">
        <v>65</v>
      </c>
      <c r="J18" s="79"/>
      <c r="K18" s="69" t="s">
        <v>66</v>
      </c>
      <c r="L18" s="70"/>
      <c r="M18" s="70"/>
      <c r="N18" s="80"/>
      <c r="O18" s="95"/>
      <c r="P18" s="96"/>
      <c r="Q18" s="77" t="str">
        <f t="shared" si="0"/>
        <v/>
      </c>
      <c r="R18" s="81" t="str">
        <f t="shared" si="1"/>
        <v/>
      </c>
      <c r="S18" s="5"/>
      <c r="T18" s="10"/>
      <c r="U18" s="10"/>
      <c r="V18" s="10"/>
      <c r="W18" s="82">
        <f t="shared" si="2"/>
        <v>2</v>
      </c>
    </row>
    <row r="19" spans="3:23" ht="94.5">
      <c r="C19" s="78" t="s">
        <v>67</v>
      </c>
      <c r="D19" s="51">
        <v>2</v>
      </c>
      <c r="E19" s="51" t="s">
        <v>51</v>
      </c>
      <c r="F19" s="51" t="s">
        <v>52</v>
      </c>
      <c r="G19" s="51"/>
      <c r="H19" s="51" t="s">
        <v>68</v>
      </c>
      <c r="I19" s="54" t="s">
        <v>69</v>
      </c>
      <c r="J19" s="83"/>
      <c r="K19" s="69" t="s">
        <v>70</v>
      </c>
      <c r="L19" s="70"/>
      <c r="M19" s="70"/>
      <c r="N19" s="80"/>
      <c r="O19" s="95"/>
      <c r="P19" s="96"/>
      <c r="Q19" s="77" t="str">
        <f t="shared" si="0"/>
        <v/>
      </c>
      <c r="R19" s="81" t="str">
        <f t="shared" si="1"/>
        <v/>
      </c>
      <c r="S19" s="5"/>
      <c r="T19" s="10"/>
      <c r="U19" s="10"/>
      <c r="V19" s="10"/>
      <c r="W19" s="82">
        <f t="shared" si="2"/>
        <v>2</v>
      </c>
    </row>
    <row r="20" spans="3:23" ht="94.5">
      <c r="C20" s="78" t="s">
        <v>71</v>
      </c>
      <c r="D20" s="51">
        <v>2</v>
      </c>
      <c r="E20" s="51" t="s">
        <v>51</v>
      </c>
      <c r="F20" s="51" t="s">
        <v>72</v>
      </c>
      <c r="G20" s="51" t="s">
        <v>63</v>
      </c>
      <c r="H20" s="51" t="s">
        <v>73</v>
      </c>
      <c r="I20" s="54" t="s">
        <v>74</v>
      </c>
      <c r="J20" s="83"/>
      <c r="K20" s="69" t="s">
        <v>75</v>
      </c>
      <c r="L20" s="70"/>
      <c r="M20" s="70"/>
      <c r="N20" s="80"/>
      <c r="O20" s="95"/>
      <c r="P20" s="96"/>
      <c r="Q20" s="77" t="str">
        <f t="shared" si="0"/>
        <v/>
      </c>
      <c r="R20" s="81" t="str">
        <f t="shared" si="1"/>
        <v/>
      </c>
      <c r="S20" s="5"/>
      <c r="T20" s="10"/>
      <c r="U20" s="10"/>
      <c r="V20" s="10"/>
      <c r="W20" s="82">
        <f t="shared" si="2"/>
        <v>2</v>
      </c>
    </row>
    <row r="21" spans="3:23" ht="100.7" customHeight="1">
      <c r="C21" s="78" t="s">
        <v>76</v>
      </c>
      <c r="D21" s="51">
        <v>2</v>
      </c>
      <c r="E21" s="51" t="s">
        <v>51</v>
      </c>
      <c r="F21" s="51" t="s">
        <v>72</v>
      </c>
      <c r="G21" s="51" t="s">
        <v>63</v>
      </c>
      <c r="H21" s="51" t="s">
        <v>77</v>
      </c>
      <c r="I21" s="54" t="s">
        <v>78</v>
      </c>
      <c r="J21" s="83"/>
      <c r="K21" s="69" t="s">
        <v>79</v>
      </c>
      <c r="L21" s="70"/>
      <c r="M21" s="70"/>
      <c r="N21" s="80"/>
      <c r="O21" s="95"/>
      <c r="P21" s="96"/>
      <c r="Q21" s="77" t="str">
        <f t="shared" si="0"/>
        <v/>
      </c>
      <c r="R21" s="81" t="str">
        <f t="shared" si="1"/>
        <v/>
      </c>
      <c r="S21" s="5"/>
      <c r="T21" s="10"/>
      <c r="U21" s="10"/>
      <c r="V21" s="10"/>
      <c r="W21" s="82">
        <f t="shared" si="2"/>
        <v>2</v>
      </c>
    </row>
    <row r="22" spans="3:23" ht="132.6" customHeight="1">
      <c r="C22" s="78" t="s">
        <v>80</v>
      </c>
      <c r="D22" s="51">
        <v>5</v>
      </c>
      <c r="E22" s="51" t="s">
        <v>51</v>
      </c>
      <c r="F22" s="51" t="s">
        <v>72</v>
      </c>
      <c r="G22" s="51" t="s">
        <v>63</v>
      </c>
      <c r="H22" s="51" t="s">
        <v>81</v>
      </c>
      <c r="I22" s="54" t="s">
        <v>82</v>
      </c>
      <c r="J22" s="79"/>
      <c r="K22" s="69" t="s">
        <v>83</v>
      </c>
      <c r="L22" s="70"/>
      <c r="M22" s="70"/>
      <c r="N22" s="80"/>
      <c r="O22" s="95"/>
      <c r="P22" s="96"/>
      <c r="Q22" s="77" t="str">
        <f t="shared" si="0"/>
        <v/>
      </c>
      <c r="R22" s="81" t="str">
        <f t="shared" si="1"/>
        <v/>
      </c>
      <c r="S22" s="5"/>
      <c r="T22" s="10"/>
      <c r="U22" s="10"/>
      <c r="V22" s="10"/>
      <c r="W22" s="82">
        <f t="shared" si="2"/>
        <v>5</v>
      </c>
    </row>
    <row r="23" spans="3:23" ht="94.5">
      <c r="C23" s="78" t="s">
        <v>84</v>
      </c>
      <c r="D23" s="51">
        <v>5</v>
      </c>
      <c r="E23" s="51" t="s">
        <v>51</v>
      </c>
      <c r="F23" s="51" t="s">
        <v>85</v>
      </c>
      <c r="G23" s="51" t="s">
        <v>63</v>
      </c>
      <c r="H23" s="51" t="s">
        <v>86</v>
      </c>
      <c r="I23" s="54" t="s">
        <v>87</v>
      </c>
      <c r="J23" s="83"/>
      <c r="K23" s="69" t="s">
        <v>88</v>
      </c>
      <c r="L23" s="70"/>
      <c r="M23" s="70"/>
      <c r="N23" s="80"/>
      <c r="O23" s="95"/>
      <c r="P23" s="96"/>
      <c r="Q23" s="77" t="str">
        <f t="shared" si="0"/>
        <v/>
      </c>
      <c r="R23" s="81" t="str">
        <f t="shared" si="1"/>
        <v/>
      </c>
      <c r="S23" s="5"/>
      <c r="T23" s="10"/>
      <c r="U23" s="10"/>
      <c r="V23" s="10"/>
      <c r="W23" s="82">
        <f t="shared" si="2"/>
        <v>5</v>
      </c>
    </row>
    <row r="24" spans="3:23" ht="147">
      <c r="C24" s="78" t="s">
        <v>89</v>
      </c>
      <c r="D24" s="51">
        <v>2</v>
      </c>
      <c r="E24" s="51" t="s">
        <v>51</v>
      </c>
      <c r="F24" s="51" t="s">
        <v>72</v>
      </c>
      <c r="G24" s="51" t="s">
        <v>63</v>
      </c>
      <c r="H24" s="51" t="s">
        <v>90</v>
      </c>
      <c r="I24" s="54" t="s">
        <v>91</v>
      </c>
      <c r="J24" s="83"/>
      <c r="K24" s="69" t="s">
        <v>92</v>
      </c>
      <c r="L24" s="70"/>
      <c r="M24" s="70"/>
      <c r="N24" s="80"/>
      <c r="O24" s="95"/>
      <c r="P24" s="96"/>
      <c r="Q24" s="77" t="str">
        <f t="shared" si="0"/>
        <v/>
      </c>
      <c r="R24" s="81" t="str">
        <f t="shared" si="1"/>
        <v/>
      </c>
      <c r="S24" s="5"/>
      <c r="T24" s="10"/>
      <c r="U24" s="10"/>
      <c r="V24" s="10"/>
      <c r="W24" s="82">
        <f t="shared" si="2"/>
        <v>2</v>
      </c>
    </row>
    <row r="25" spans="3:23" ht="105">
      <c r="C25" s="78" t="s">
        <v>93</v>
      </c>
      <c r="D25" s="51">
        <v>4</v>
      </c>
      <c r="E25" s="51" t="s">
        <v>51</v>
      </c>
      <c r="F25" s="51" t="s">
        <v>94</v>
      </c>
      <c r="G25" s="51"/>
      <c r="H25" s="51" t="s">
        <v>95</v>
      </c>
      <c r="I25" s="54" t="s">
        <v>96</v>
      </c>
      <c r="J25" s="79"/>
      <c r="K25" s="69" t="s">
        <v>97</v>
      </c>
      <c r="L25" s="70"/>
      <c r="M25" s="70"/>
      <c r="N25" s="80"/>
      <c r="O25" s="95"/>
      <c r="P25" s="96"/>
      <c r="Q25" s="77" t="str">
        <f t="shared" si="0"/>
        <v/>
      </c>
      <c r="R25" s="81" t="str">
        <f t="shared" si="1"/>
        <v/>
      </c>
      <c r="S25" s="5"/>
      <c r="T25" s="10"/>
      <c r="U25" s="10"/>
      <c r="V25" s="10"/>
      <c r="W25" s="82">
        <f t="shared" si="2"/>
        <v>4</v>
      </c>
    </row>
    <row r="26" spans="3:23" ht="21">
      <c r="C26" s="78" t="s">
        <v>98</v>
      </c>
      <c r="D26" s="51">
        <v>5</v>
      </c>
      <c r="E26" s="51" t="s">
        <v>51</v>
      </c>
      <c r="F26" s="51" t="s">
        <v>52</v>
      </c>
      <c r="G26" s="51" t="s">
        <v>63</v>
      </c>
      <c r="H26" s="51" t="s">
        <v>99</v>
      </c>
      <c r="I26" s="54" t="s">
        <v>100</v>
      </c>
      <c r="J26" s="83"/>
      <c r="K26" s="69" t="s">
        <v>101</v>
      </c>
      <c r="L26" s="70"/>
      <c r="M26" s="70"/>
      <c r="N26" s="80"/>
      <c r="O26" s="95"/>
      <c r="P26" s="96"/>
      <c r="Q26" s="77" t="str">
        <f t="shared" si="0"/>
        <v/>
      </c>
      <c r="R26" s="81" t="str">
        <f t="shared" si="1"/>
        <v/>
      </c>
      <c r="S26" s="5"/>
      <c r="T26" s="10"/>
      <c r="U26" s="10"/>
      <c r="V26" s="10"/>
      <c r="W26" s="82">
        <f t="shared" si="2"/>
        <v>5</v>
      </c>
    </row>
    <row r="27" spans="3:23" ht="15.6">
      <c r="C27" s="121"/>
      <c r="D27" s="122"/>
      <c r="E27" s="121"/>
      <c r="F27" s="121"/>
      <c r="G27" s="121"/>
      <c r="H27" s="121"/>
      <c r="I27" s="121"/>
      <c r="J27" s="121"/>
      <c r="K27" s="121"/>
      <c r="L27" s="121"/>
      <c r="M27" s="121"/>
      <c r="N27" s="67"/>
      <c r="O27" s="5"/>
      <c r="P27" s="5"/>
      <c r="Q27" s="5"/>
      <c r="R27" s="84" t="str">
        <f>IF(SUM(R16:R26)=0,"-",IFERROR(SUM(R16:R26),""))</f>
        <v>-</v>
      </c>
      <c r="S27" s="5"/>
      <c r="T27" s="10"/>
      <c r="U27" s="10"/>
      <c r="V27" s="10"/>
      <c r="W27" s="10"/>
    </row>
    <row r="28" spans="3:23" ht="15.6">
      <c r="C28" s="121"/>
      <c r="D28" s="122"/>
      <c r="E28" s="121"/>
      <c r="F28" s="121"/>
      <c r="G28" s="121"/>
      <c r="H28" s="121"/>
      <c r="I28" s="121"/>
      <c r="J28" s="121"/>
      <c r="K28" s="121"/>
      <c r="L28" s="121"/>
      <c r="M28" s="121"/>
      <c r="N28" s="67"/>
      <c r="O28" s="90" t="str">
        <f>IF(O16="N/A",IF(O17="N/A",IF(O18="N/A",IF(O19="N/A",IF(O20="N/A",IF(O21="N/A",IF(O22="N/A",IF(O23="N/A",IF(O24="N/A",IF(O25="N/A",IF(O26="N/A","N/A","-"),"-"),"-"),"-"),"-"),"-"),"-"),"-"),"-"),"-"),"-")</f>
        <v>-</v>
      </c>
      <c r="P28" s="97" t="str">
        <f>IF(O28="N/A","N/A",$R28)</f>
        <v>-</v>
      </c>
      <c r="Q28" s="90"/>
      <c r="R28" s="84" t="str">
        <f>IF(R27="-","-",IFERROR(($P16*W16+$P17*W17+$P18*W18+$P19*W19+$P20*W20+$P21*W21+$P22*W22+$P23*W23+$P24*W24+$P25*W25+$P26*W26)/(SUM(W16:W26)),""))</f>
        <v>-</v>
      </c>
      <c r="S28" s="5"/>
      <c r="T28" s="10"/>
      <c r="U28" s="10"/>
      <c r="V28" s="10"/>
      <c r="W28" s="10"/>
    </row>
    <row r="29" spans="3:23" ht="3.75" customHeight="1">
      <c r="C29" s="55"/>
      <c r="D29" s="85"/>
      <c r="E29" s="55"/>
      <c r="F29" s="55"/>
      <c r="G29" s="55"/>
      <c r="H29" s="55"/>
      <c r="I29" s="55"/>
      <c r="J29" s="55"/>
      <c r="K29" s="55"/>
      <c r="L29" s="55"/>
      <c r="M29" s="55"/>
      <c r="N29" s="67"/>
      <c r="O29" s="5"/>
      <c r="P29" s="5"/>
      <c r="Q29" s="5"/>
      <c r="R29" s="5"/>
      <c r="S29" s="5"/>
    </row>
    <row r="30" spans="3:23" ht="14.25" customHeight="1">
      <c r="C30" s="55"/>
      <c r="D30" s="86">
        <v>1</v>
      </c>
      <c r="E30" s="56"/>
      <c r="F30" s="56"/>
      <c r="G30" s="56"/>
      <c r="H30" s="56"/>
      <c r="I30" s="57" t="s">
        <v>102</v>
      </c>
      <c r="J30" s="58"/>
      <c r="K30" s="55"/>
      <c r="L30" s="55"/>
      <c r="M30" s="55"/>
      <c r="N30" s="67"/>
      <c r="O30" s="5"/>
      <c r="P30" s="5"/>
      <c r="Q30" s="5"/>
      <c r="R30" s="11"/>
      <c r="S30" s="5"/>
      <c r="T30" s="10"/>
      <c r="U30" s="10"/>
      <c r="V30" s="10"/>
      <c r="W30" s="7" t="s">
        <v>48</v>
      </c>
    </row>
    <row r="31" spans="3:23" ht="54" customHeight="1">
      <c r="C31" s="53" t="s">
        <v>103</v>
      </c>
      <c r="D31" s="51">
        <v>1</v>
      </c>
      <c r="E31" s="51" t="s">
        <v>51</v>
      </c>
      <c r="F31" s="51" t="s">
        <v>104</v>
      </c>
      <c r="G31" s="51">
        <v>120098</v>
      </c>
      <c r="H31" s="51" t="s">
        <v>105</v>
      </c>
      <c r="I31" s="54" t="s">
        <v>106</v>
      </c>
      <c r="J31" s="58"/>
      <c r="K31" s="69" t="s">
        <v>66</v>
      </c>
      <c r="L31" s="70"/>
      <c r="M31" s="70"/>
      <c r="N31" s="80"/>
      <c r="O31" s="95"/>
      <c r="P31" s="96"/>
      <c r="Q31" s="77" t="str">
        <f t="shared" ref="Q31:Q37" si="3">IF($O31="N/A","",IF($P31="","",IF($P31&gt;=85%,"C","NC")))</f>
        <v/>
      </c>
      <c r="R31" s="81" t="str">
        <f t="shared" ref="R31:R37" si="4">IF($O31="N/A","",IF($P31="","",$P31*$W31))</f>
        <v/>
      </c>
      <c r="S31" s="5"/>
      <c r="T31" s="10"/>
      <c r="U31" s="10"/>
      <c r="V31" s="10"/>
      <c r="W31" s="82">
        <f t="shared" ref="W31:W37" si="5">IF(O31="N/A",0,D31)</f>
        <v>1</v>
      </c>
    </row>
    <row r="32" spans="3:23" ht="37.35" customHeight="1">
      <c r="C32" s="53" t="s">
        <v>107</v>
      </c>
      <c r="D32" s="51">
        <v>1</v>
      </c>
      <c r="E32" s="51" t="s">
        <v>51</v>
      </c>
      <c r="F32" s="51" t="s">
        <v>104</v>
      </c>
      <c r="G32" s="51">
        <v>120006</v>
      </c>
      <c r="H32" s="51" t="s">
        <v>108</v>
      </c>
      <c r="I32" s="54" t="s">
        <v>109</v>
      </c>
      <c r="J32" s="58"/>
      <c r="K32" s="69" t="s">
        <v>110</v>
      </c>
      <c r="L32" s="70"/>
      <c r="M32" s="70"/>
      <c r="N32" s="80"/>
      <c r="O32" s="95"/>
      <c r="P32" s="96"/>
      <c r="Q32" s="77" t="str">
        <f t="shared" si="3"/>
        <v/>
      </c>
      <c r="R32" s="81" t="str">
        <f t="shared" si="4"/>
        <v/>
      </c>
      <c r="S32" s="5"/>
      <c r="T32" s="10"/>
      <c r="U32" s="10"/>
      <c r="V32" s="10"/>
      <c r="W32" s="82">
        <f t="shared" ref="W32" si="6">IF(O32="N/A",0,D32)</f>
        <v>1</v>
      </c>
    </row>
    <row r="33" spans="3:23" ht="70.7" customHeight="1">
      <c r="C33" s="53" t="s">
        <v>111</v>
      </c>
      <c r="D33" s="51">
        <v>1</v>
      </c>
      <c r="E33" s="51" t="s">
        <v>51</v>
      </c>
      <c r="F33" s="51" t="s">
        <v>104</v>
      </c>
      <c r="G33" s="51">
        <v>120006</v>
      </c>
      <c r="H33" s="51" t="s">
        <v>112</v>
      </c>
      <c r="I33" s="54" t="s">
        <v>113</v>
      </c>
      <c r="J33" s="58"/>
      <c r="K33" s="69" t="s">
        <v>114</v>
      </c>
      <c r="L33" s="70"/>
      <c r="M33" s="70"/>
      <c r="N33" s="80"/>
      <c r="O33" s="95"/>
      <c r="P33" s="96"/>
      <c r="Q33" s="77" t="str">
        <f t="shared" si="3"/>
        <v/>
      </c>
      <c r="R33" s="81" t="str">
        <f t="shared" si="4"/>
        <v/>
      </c>
      <c r="S33" s="5"/>
      <c r="T33" s="10"/>
      <c r="U33" s="10"/>
      <c r="V33" s="10"/>
      <c r="W33" s="82">
        <f t="shared" si="5"/>
        <v>1</v>
      </c>
    </row>
    <row r="34" spans="3:23" ht="31.5">
      <c r="C34" s="53" t="s">
        <v>115</v>
      </c>
      <c r="D34" s="51">
        <v>1</v>
      </c>
      <c r="E34" s="51" t="s">
        <v>58</v>
      </c>
      <c r="F34" s="51" t="s">
        <v>104</v>
      </c>
      <c r="G34" s="51" t="s">
        <v>116</v>
      </c>
      <c r="H34" s="51" t="s">
        <v>117</v>
      </c>
      <c r="I34" s="54" t="s">
        <v>118</v>
      </c>
      <c r="J34" s="58"/>
      <c r="K34" s="69" t="s">
        <v>119</v>
      </c>
      <c r="L34" s="70"/>
      <c r="M34" s="70"/>
      <c r="N34" s="80"/>
      <c r="O34" s="95"/>
      <c r="P34" s="96"/>
      <c r="Q34" s="77" t="str">
        <f t="shared" si="3"/>
        <v/>
      </c>
      <c r="R34" s="81" t="str">
        <f t="shared" si="4"/>
        <v/>
      </c>
      <c r="S34" s="5"/>
      <c r="T34" s="10"/>
      <c r="U34" s="10"/>
      <c r="V34" s="10"/>
      <c r="W34" s="82">
        <f t="shared" si="5"/>
        <v>1</v>
      </c>
    </row>
    <row r="35" spans="3:23" ht="225.75" customHeight="1">
      <c r="C35" s="53" t="s">
        <v>120</v>
      </c>
      <c r="D35" s="51">
        <v>1</v>
      </c>
      <c r="E35" s="51" t="s">
        <v>58</v>
      </c>
      <c r="F35" s="51" t="s">
        <v>104</v>
      </c>
      <c r="G35" s="51">
        <v>120075</v>
      </c>
      <c r="H35" s="51" t="s">
        <v>121</v>
      </c>
      <c r="I35" s="54" t="s">
        <v>122</v>
      </c>
      <c r="J35" s="58"/>
      <c r="K35" s="69" t="s">
        <v>123</v>
      </c>
      <c r="L35" s="70"/>
      <c r="M35" s="70"/>
      <c r="N35" s="80"/>
      <c r="O35" s="95"/>
      <c r="P35" s="96"/>
      <c r="Q35" s="77" t="str">
        <f t="shared" si="3"/>
        <v/>
      </c>
      <c r="R35" s="81" t="str">
        <f t="shared" si="4"/>
        <v/>
      </c>
      <c r="S35" s="5"/>
      <c r="T35" s="10"/>
      <c r="U35" s="10"/>
      <c r="V35" s="10"/>
      <c r="W35" s="82">
        <f t="shared" si="5"/>
        <v>1</v>
      </c>
    </row>
    <row r="36" spans="3:23" ht="54.75" customHeight="1">
      <c r="C36" s="53" t="s">
        <v>124</v>
      </c>
      <c r="D36" s="51">
        <v>1</v>
      </c>
      <c r="E36" s="51" t="s">
        <v>58</v>
      </c>
      <c r="F36" s="51" t="s">
        <v>104</v>
      </c>
      <c r="G36" s="51" t="s">
        <v>125</v>
      </c>
      <c r="H36" s="51" t="s">
        <v>126</v>
      </c>
      <c r="I36" s="54" t="s">
        <v>127</v>
      </c>
      <c r="J36" s="58"/>
      <c r="K36" s="69" t="s">
        <v>128</v>
      </c>
      <c r="L36" s="70"/>
      <c r="M36" s="70"/>
      <c r="N36" s="80"/>
      <c r="O36" s="95"/>
      <c r="P36" s="96"/>
      <c r="Q36" s="77" t="str">
        <f t="shared" si="3"/>
        <v/>
      </c>
      <c r="R36" s="81" t="str">
        <f t="shared" si="4"/>
        <v/>
      </c>
      <c r="S36" s="5"/>
      <c r="T36" s="10"/>
      <c r="U36" s="10"/>
      <c r="V36" s="10"/>
      <c r="W36" s="82">
        <f t="shared" si="5"/>
        <v>1</v>
      </c>
    </row>
    <row r="37" spans="3:23" ht="96.75" customHeight="1">
      <c r="C37" s="53" t="s">
        <v>129</v>
      </c>
      <c r="D37" s="51">
        <v>1</v>
      </c>
      <c r="E37" s="51" t="s">
        <v>58</v>
      </c>
      <c r="F37" s="51" t="s">
        <v>104</v>
      </c>
      <c r="G37" s="51">
        <v>120048</v>
      </c>
      <c r="H37" s="51" t="s">
        <v>130</v>
      </c>
      <c r="I37" s="54" t="s">
        <v>131</v>
      </c>
      <c r="J37" s="58"/>
      <c r="K37" s="69" t="s">
        <v>132</v>
      </c>
      <c r="L37" s="70"/>
      <c r="M37" s="70"/>
      <c r="N37" s="80"/>
      <c r="O37" s="95"/>
      <c r="P37" s="96"/>
      <c r="Q37" s="77" t="str">
        <f t="shared" si="3"/>
        <v/>
      </c>
      <c r="R37" s="81" t="str">
        <f t="shared" si="4"/>
        <v/>
      </c>
      <c r="S37" s="5"/>
      <c r="T37" s="10"/>
      <c r="U37" s="10"/>
      <c r="V37" s="10"/>
      <c r="W37" s="82">
        <f t="shared" si="5"/>
        <v>1</v>
      </c>
    </row>
    <row r="38" spans="3:23" ht="15.6">
      <c r="C38" s="104"/>
      <c r="D38" s="105"/>
      <c r="E38" s="104"/>
      <c r="F38" s="104"/>
      <c r="G38" s="104"/>
      <c r="H38" s="104"/>
      <c r="I38" s="104"/>
      <c r="J38" s="104"/>
      <c r="K38" s="104"/>
      <c r="L38" s="104"/>
      <c r="M38" s="104"/>
      <c r="N38" s="67"/>
      <c r="O38" s="5"/>
      <c r="P38" s="5"/>
      <c r="Q38" s="5"/>
      <c r="R38" s="84" t="str">
        <f>IF(SUM(R31:R37)=0,"-",IFERROR(SUM(R31:R37),""))</f>
        <v>-</v>
      </c>
      <c r="S38" s="5"/>
      <c r="T38" s="10"/>
      <c r="U38" s="10"/>
      <c r="V38" s="10"/>
      <c r="W38" s="10"/>
    </row>
    <row r="39" spans="3:23" ht="15.6">
      <c r="C39" s="104"/>
      <c r="D39" s="105"/>
      <c r="E39" s="104"/>
      <c r="F39" s="104"/>
      <c r="G39" s="104"/>
      <c r="H39" s="104"/>
      <c r="I39" s="104"/>
      <c r="J39" s="104"/>
      <c r="K39" s="104"/>
      <c r="L39" s="104"/>
      <c r="M39" s="104"/>
      <c r="N39" s="67"/>
      <c r="O39" s="93" t="str">
        <f>IF(O31="N/A",IF(O32="N/A",IF(O33="N/A",IF(O34="N/A",IF(O35="N/A",IF(O36="N/A",IF(O37="N/A","N/A","-"),"-"),"-"),"-"),"-"),"-"),"-")</f>
        <v>-</v>
      </c>
      <c r="P39" s="94" t="str">
        <f>IF(O39="N/A","N/A",$R39)</f>
        <v>-</v>
      </c>
      <c r="Q39" s="90"/>
      <c r="R39" s="84" t="str">
        <f>IF(R38="-","-",IFERROR(($P31*W31+$P32*W32+$P33*W33+$P34*W34+$P35*W35+$P36*W36+$P37*W37)/(SUM(W31:W37)),""))</f>
        <v>-</v>
      </c>
      <c r="S39" s="5"/>
      <c r="T39" s="10"/>
      <c r="U39" s="10"/>
      <c r="V39" s="10"/>
      <c r="W39" s="10"/>
    </row>
    <row r="40" spans="3:23" ht="3.75" customHeight="1">
      <c r="C40" s="55"/>
      <c r="D40" s="85"/>
      <c r="E40" s="55"/>
      <c r="F40" s="55"/>
      <c r="G40" s="55"/>
      <c r="H40" s="55"/>
      <c r="I40" s="55"/>
      <c r="J40" s="55"/>
      <c r="K40" s="55"/>
      <c r="L40" s="55"/>
      <c r="M40" s="55"/>
      <c r="N40" s="67"/>
      <c r="O40" s="5"/>
      <c r="P40" s="5"/>
      <c r="Q40" s="5"/>
      <c r="R40" s="5"/>
      <c r="S40" s="5"/>
    </row>
    <row r="41" spans="3:23" ht="14.25" customHeight="1">
      <c r="C41" s="55"/>
      <c r="D41" s="86">
        <v>1</v>
      </c>
      <c r="E41" s="56"/>
      <c r="F41" s="56"/>
      <c r="G41" s="56"/>
      <c r="H41" s="56"/>
      <c r="I41" s="57" t="s">
        <v>133</v>
      </c>
      <c r="J41" s="58"/>
      <c r="K41" s="55"/>
      <c r="L41" s="55"/>
      <c r="M41" s="55"/>
      <c r="N41" s="67"/>
      <c r="O41" s="5"/>
      <c r="P41" s="5"/>
      <c r="Q41" s="5"/>
      <c r="R41" s="11"/>
      <c r="S41" s="5"/>
      <c r="T41" s="10"/>
      <c r="U41" s="10"/>
      <c r="V41" s="10"/>
      <c r="W41" s="7" t="s">
        <v>48</v>
      </c>
    </row>
    <row r="42" spans="3:23" ht="23.25" customHeight="1">
      <c r="C42" s="53" t="s">
        <v>134</v>
      </c>
      <c r="D42" s="51">
        <v>1</v>
      </c>
      <c r="E42" s="51" t="s">
        <v>51</v>
      </c>
      <c r="F42" s="51" t="s">
        <v>52</v>
      </c>
      <c r="G42" s="51" t="s">
        <v>135</v>
      </c>
      <c r="H42" s="59" t="s">
        <v>136</v>
      </c>
      <c r="I42" s="54" t="s">
        <v>137</v>
      </c>
      <c r="J42" s="58"/>
      <c r="K42" s="69" t="s">
        <v>138</v>
      </c>
      <c r="L42" s="70"/>
      <c r="M42" s="70"/>
      <c r="N42" s="80"/>
      <c r="O42" s="95"/>
      <c r="P42" s="96"/>
      <c r="Q42" s="77" t="str">
        <f t="shared" ref="Q42:Q49" si="7">IF($O42="N/A","",IF($P42="","",IF($P42&gt;=85%,"C","NC")))</f>
        <v/>
      </c>
      <c r="R42" s="81" t="str">
        <f t="shared" ref="R42:R49" si="8">IF($O42="N/A","",IF($P42="","",$P42*$W42))</f>
        <v/>
      </c>
      <c r="S42" s="5"/>
      <c r="T42" s="10"/>
      <c r="U42" s="10"/>
      <c r="V42" s="10"/>
      <c r="W42" s="82">
        <f t="shared" ref="W42:W49" si="9">IF(O42="N/A",0,D42)</f>
        <v>1</v>
      </c>
    </row>
    <row r="43" spans="3:23" ht="21">
      <c r="C43" s="53" t="s">
        <v>139</v>
      </c>
      <c r="D43" s="51">
        <v>1</v>
      </c>
      <c r="E43" s="51" t="s">
        <v>51</v>
      </c>
      <c r="F43" s="51" t="s">
        <v>52</v>
      </c>
      <c r="G43" s="51" t="s">
        <v>63</v>
      </c>
      <c r="H43" s="51" t="s">
        <v>140</v>
      </c>
      <c r="I43" s="54" t="s">
        <v>141</v>
      </c>
      <c r="J43" s="58"/>
      <c r="K43" s="69" t="s">
        <v>138</v>
      </c>
      <c r="L43" s="70"/>
      <c r="M43" s="70"/>
      <c r="N43" s="80"/>
      <c r="O43" s="95"/>
      <c r="P43" s="96"/>
      <c r="Q43" s="77" t="str">
        <f t="shared" si="7"/>
        <v/>
      </c>
      <c r="R43" s="81" t="str">
        <f t="shared" si="8"/>
        <v/>
      </c>
      <c r="S43" s="5"/>
      <c r="T43" s="10"/>
      <c r="U43" s="10"/>
      <c r="V43" s="10"/>
      <c r="W43" s="82">
        <f t="shared" si="9"/>
        <v>1</v>
      </c>
    </row>
    <row r="44" spans="3:23" ht="115.5">
      <c r="C44" s="53" t="s">
        <v>142</v>
      </c>
      <c r="D44" s="76">
        <v>1</v>
      </c>
      <c r="E44" s="51" t="s">
        <v>143</v>
      </c>
      <c r="F44" s="51" t="s">
        <v>52</v>
      </c>
      <c r="G44" s="51" t="s">
        <v>63</v>
      </c>
      <c r="H44" s="51" t="s">
        <v>144</v>
      </c>
      <c r="I44" s="54" t="s">
        <v>145</v>
      </c>
      <c r="J44" s="10"/>
      <c r="K44" s="69" t="s">
        <v>146</v>
      </c>
      <c r="L44" s="70"/>
      <c r="M44" s="70"/>
      <c r="N44" s="80"/>
      <c r="O44" s="95"/>
      <c r="P44" s="96"/>
      <c r="Q44" s="77" t="str">
        <f t="shared" si="7"/>
        <v/>
      </c>
      <c r="R44" s="81" t="str">
        <f t="shared" si="8"/>
        <v/>
      </c>
      <c r="S44" s="5"/>
      <c r="T44" s="10"/>
      <c r="U44" s="10"/>
      <c r="V44" s="10"/>
      <c r="W44" s="82">
        <f t="shared" ref="W44" si="10">IF(O44="N/A",0,D44)</f>
        <v>1</v>
      </c>
    </row>
    <row r="45" spans="3:23" ht="21">
      <c r="C45" s="53" t="s">
        <v>147</v>
      </c>
      <c r="D45" s="51">
        <v>1</v>
      </c>
      <c r="E45" s="51" t="s">
        <v>51</v>
      </c>
      <c r="F45" s="51" t="s">
        <v>52</v>
      </c>
      <c r="G45" s="51" t="s">
        <v>148</v>
      </c>
      <c r="H45" s="59" t="s">
        <v>149</v>
      </c>
      <c r="I45" s="54" t="s">
        <v>150</v>
      </c>
      <c r="J45" s="58"/>
      <c r="K45" s="69" t="s">
        <v>138</v>
      </c>
      <c r="L45" s="70"/>
      <c r="M45" s="70"/>
      <c r="N45" s="80"/>
      <c r="O45" s="95"/>
      <c r="P45" s="96"/>
      <c r="Q45" s="77" t="str">
        <f t="shared" si="7"/>
        <v/>
      </c>
      <c r="R45" s="81" t="str">
        <f t="shared" si="8"/>
        <v/>
      </c>
      <c r="S45" s="5"/>
      <c r="T45" s="10"/>
      <c r="U45" s="10"/>
      <c r="V45" s="10"/>
      <c r="W45" s="82">
        <f t="shared" si="9"/>
        <v>1</v>
      </c>
    </row>
    <row r="46" spans="3:23" ht="21">
      <c r="C46" s="53" t="s">
        <v>151</v>
      </c>
      <c r="D46" s="51">
        <v>1</v>
      </c>
      <c r="E46" s="51" t="s">
        <v>51</v>
      </c>
      <c r="F46" s="51" t="s">
        <v>52</v>
      </c>
      <c r="G46" s="51" t="s">
        <v>152</v>
      </c>
      <c r="H46" s="59" t="s">
        <v>153</v>
      </c>
      <c r="I46" s="54" t="s">
        <v>154</v>
      </c>
      <c r="J46" s="58"/>
      <c r="K46" s="69" t="s">
        <v>138</v>
      </c>
      <c r="L46" s="70"/>
      <c r="M46" s="70"/>
      <c r="N46" s="80"/>
      <c r="O46" s="95"/>
      <c r="P46" s="96"/>
      <c r="Q46" s="77" t="str">
        <f t="shared" si="7"/>
        <v/>
      </c>
      <c r="R46" s="81" t="str">
        <f t="shared" si="8"/>
        <v/>
      </c>
      <c r="S46" s="5"/>
      <c r="T46" s="10"/>
      <c r="U46" s="10"/>
      <c r="V46" s="10"/>
      <c r="W46" s="82">
        <f t="shared" si="9"/>
        <v>1</v>
      </c>
    </row>
    <row r="47" spans="3:23" ht="21">
      <c r="C47" s="53" t="s">
        <v>155</v>
      </c>
      <c r="D47" s="51">
        <v>1</v>
      </c>
      <c r="E47" s="51" t="s">
        <v>51</v>
      </c>
      <c r="F47" s="51" t="s">
        <v>52</v>
      </c>
      <c r="G47" s="51" t="s">
        <v>156</v>
      </c>
      <c r="H47" s="59" t="s">
        <v>157</v>
      </c>
      <c r="I47" s="54" t="s">
        <v>158</v>
      </c>
      <c r="J47" s="58"/>
      <c r="K47" s="69" t="s">
        <v>138</v>
      </c>
      <c r="L47" s="70"/>
      <c r="M47" s="70"/>
      <c r="N47" s="80"/>
      <c r="O47" s="95"/>
      <c r="P47" s="96"/>
      <c r="Q47" s="77" t="str">
        <f t="shared" si="7"/>
        <v/>
      </c>
      <c r="R47" s="81" t="str">
        <f t="shared" si="8"/>
        <v/>
      </c>
      <c r="S47" s="5"/>
      <c r="T47" s="10"/>
      <c r="U47" s="10"/>
      <c r="V47" s="10"/>
      <c r="W47" s="82">
        <f t="shared" si="9"/>
        <v>1</v>
      </c>
    </row>
    <row r="48" spans="3:23" ht="115.5">
      <c r="C48" s="53" t="s">
        <v>159</v>
      </c>
      <c r="D48" s="51">
        <v>1</v>
      </c>
      <c r="E48" s="51" t="s">
        <v>51</v>
      </c>
      <c r="F48" s="51" t="s">
        <v>72</v>
      </c>
      <c r="G48" s="51" t="s">
        <v>156</v>
      </c>
      <c r="H48" s="59" t="s">
        <v>160</v>
      </c>
      <c r="I48" s="54" t="s">
        <v>161</v>
      </c>
      <c r="J48" s="58"/>
      <c r="K48" s="69" t="s">
        <v>162</v>
      </c>
      <c r="L48" s="70"/>
      <c r="M48" s="70"/>
      <c r="N48" s="80"/>
      <c r="O48" s="95"/>
      <c r="P48" s="96"/>
      <c r="Q48" s="77" t="str">
        <f t="shared" si="7"/>
        <v/>
      </c>
      <c r="R48" s="81" t="str">
        <f t="shared" si="8"/>
        <v/>
      </c>
      <c r="S48" s="5"/>
      <c r="T48" s="10"/>
      <c r="U48" s="10"/>
      <c r="V48" s="10"/>
      <c r="W48" s="82">
        <f t="shared" si="9"/>
        <v>1</v>
      </c>
    </row>
    <row r="49" spans="3:23" ht="73.5">
      <c r="C49" s="53" t="s">
        <v>163</v>
      </c>
      <c r="D49" s="77">
        <v>1</v>
      </c>
      <c r="E49" s="51" t="s">
        <v>51</v>
      </c>
      <c r="F49" s="51" t="s">
        <v>52</v>
      </c>
      <c r="G49" s="51" t="s">
        <v>156</v>
      </c>
      <c r="H49" s="59" t="s">
        <v>164</v>
      </c>
      <c r="I49" s="54" t="s">
        <v>165</v>
      </c>
      <c r="J49" s="10"/>
      <c r="K49" s="69" t="s">
        <v>166</v>
      </c>
      <c r="L49" s="70"/>
      <c r="M49" s="70"/>
      <c r="N49" s="80"/>
      <c r="O49" s="95"/>
      <c r="P49" s="96"/>
      <c r="Q49" s="77" t="str">
        <f t="shared" si="7"/>
        <v/>
      </c>
      <c r="R49" s="81" t="str">
        <f t="shared" si="8"/>
        <v/>
      </c>
      <c r="S49" s="5"/>
      <c r="T49" s="10"/>
      <c r="U49" s="10"/>
      <c r="V49" s="10"/>
      <c r="W49" s="82">
        <f t="shared" si="9"/>
        <v>1</v>
      </c>
    </row>
    <row r="50" spans="3:23" ht="15.6">
      <c r="C50" s="104"/>
      <c r="D50" s="105"/>
      <c r="E50" s="104"/>
      <c r="F50" s="104"/>
      <c r="G50" s="104"/>
      <c r="H50" s="104"/>
      <c r="I50" s="104"/>
      <c r="J50" s="104"/>
      <c r="K50" s="104"/>
      <c r="L50" s="104"/>
      <c r="M50" s="104"/>
      <c r="N50" s="67"/>
      <c r="O50" s="5"/>
      <c r="P50" s="5"/>
      <c r="Q50" s="5"/>
      <c r="R50" s="84" t="str">
        <f>IF(SUM(R42:R49)=0,"-",IFERROR(SUM(R42:R49),""))</f>
        <v>-</v>
      </c>
      <c r="S50" s="5"/>
      <c r="T50" s="10"/>
      <c r="U50" s="10"/>
      <c r="V50" s="10"/>
      <c r="W50" s="10"/>
    </row>
    <row r="51" spans="3:23" ht="15.6">
      <c r="C51" s="104"/>
      <c r="D51" s="105"/>
      <c r="E51" s="104"/>
      <c r="F51" s="104"/>
      <c r="G51" s="104"/>
      <c r="H51" s="104"/>
      <c r="I51" s="104"/>
      <c r="J51" s="104"/>
      <c r="K51" s="104"/>
      <c r="L51" s="104"/>
      <c r="M51" s="104"/>
      <c r="N51" s="67"/>
      <c r="O51" s="93" t="str">
        <f>IF(O42="N/A",IF(O43="N/A",IF(O44="N/A",IF(O45="N/A",IF(O46="N/A",IF(O47="N/A",IF(O48="N/A",IF(O49="N/A","N/A","-"),"-"),"-"),"-"),"-"),"-"),"-"),"-")</f>
        <v>-</v>
      </c>
      <c r="P51" s="94" t="str">
        <f>IF(O51="N/A","N/A",$R51)</f>
        <v>-</v>
      </c>
      <c r="Q51" s="90"/>
      <c r="R51" s="84" t="str">
        <f>IF(R50="-","-",IFERROR(($P42*W42+$P43*W43+$P44*W44+$P45*W45+$P46*W46+$P47*W47+$P48*W48+$P49*W49)/(SUM(W42:W49)),""))</f>
        <v>-</v>
      </c>
      <c r="S51" s="5"/>
      <c r="T51" s="10"/>
      <c r="U51" s="10"/>
      <c r="V51" s="10"/>
      <c r="W51" s="10"/>
    </row>
    <row r="52" spans="3:23" ht="3.75" customHeight="1">
      <c r="C52" s="55"/>
      <c r="D52" s="85"/>
      <c r="E52" s="55"/>
      <c r="F52" s="55"/>
      <c r="G52" s="55"/>
      <c r="H52" s="55"/>
      <c r="I52" s="55"/>
      <c r="J52" s="55"/>
      <c r="K52" s="55"/>
      <c r="L52" s="55"/>
      <c r="M52" s="55"/>
      <c r="N52" s="67"/>
      <c r="O52" s="5"/>
      <c r="P52" s="5"/>
      <c r="Q52" s="5"/>
      <c r="R52" s="5"/>
      <c r="S52" s="5"/>
    </row>
    <row r="53" spans="3:23" ht="14.25" customHeight="1">
      <c r="C53" s="56"/>
      <c r="D53" s="86">
        <v>4</v>
      </c>
      <c r="E53" s="56"/>
      <c r="F53" s="56"/>
      <c r="G53" s="56"/>
      <c r="H53" s="56"/>
      <c r="I53" s="57" t="s">
        <v>167</v>
      </c>
      <c r="J53" s="58"/>
      <c r="K53" s="55"/>
      <c r="L53" s="55"/>
      <c r="M53" s="55"/>
      <c r="N53" s="67"/>
      <c r="S53" s="10"/>
      <c r="T53" s="10"/>
      <c r="U53" s="10"/>
      <c r="V53" s="10"/>
      <c r="W53" s="7" t="s">
        <v>48</v>
      </c>
    </row>
    <row r="54" spans="3:23" ht="63">
      <c r="C54" s="53" t="s">
        <v>168</v>
      </c>
      <c r="D54" s="77">
        <v>1</v>
      </c>
      <c r="E54" s="51" t="s">
        <v>51</v>
      </c>
      <c r="F54" s="51" t="s">
        <v>52</v>
      </c>
      <c r="G54" s="51" t="s">
        <v>135</v>
      </c>
      <c r="H54" s="59" t="s">
        <v>169</v>
      </c>
      <c r="I54" s="54" t="s">
        <v>170</v>
      </c>
      <c r="J54" s="10"/>
      <c r="K54" s="69" t="s">
        <v>171</v>
      </c>
      <c r="L54" s="70"/>
      <c r="M54" s="70"/>
      <c r="N54" s="80"/>
      <c r="O54" s="95"/>
      <c r="P54" s="96"/>
      <c r="Q54" s="77" t="str">
        <f>IF($O54="N/A","",IF($P54="","",IF($P54&gt;=85%,"C","NC")))</f>
        <v/>
      </c>
      <c r="R54" s="81" t="str">
        <f t="shared" ref="R54:R56" si="11">IF($O54="N/A","",IF($P54="","",$P54*$W54))</f>
        <v/>
      </c>
      <c r="S54" s="5"/>
      <c r="T54" s="10"/>
      <c r="U54" s="10"/>
      <c r="V54" s="10"/>
      <c r="W54" s="82">
        <f t="shared" ref="W54:W56" si="12">IF(O54="N/A",0,D54)</f>
        <v>1</v>
      </c>
    </row>
    <row r="55" spans="3:23" ht="99" customHeight="1">
      <c r="C55" s="53" t="s">
        <v>172</v>
      </c>
      <c r="D55" s="77">
        <v>1</v>
      </c>
      <c r="E55" s="51" t="s">
        <v>51</v>
      </c>
      <c r="F55" s="51" t="s">
        <v>52</v>
      </c>
      <c r="G55" s="51" t="s">
        <v>63</v>
      </c>
      <c r="H55" s="59" t="s">
        <v>173</v>
      </c>
      <c r="I55" s="54" t="s">
        <v>174</v>
      </c>
      <c r="J55" s="10"/>
      <c r="K55" s="69" t="s">
        <v>175</v>
      </c>
      <c r="L55" s="70"/>
      <c r="M55" s="70"/>
      <c r="N55" s="80"/>
      <c r="O55" s="95"/>
      <c r="P55" s="96"/>
      <c r="Q55" s="77" t="str">
        <f>IF($O55="N/A","",IF($P55="","",IF($P55&gt;=85%,"C","NC")))</f>
        <v/>
      </c>
      <c r="R55" s="81" t="str">
        <f t="shared" si="11"/>
        <v/>
      </c>
      <c r="S55" s="5"/>
      <c r="T55" s="10"/>
      <c r="U55" s="10"/>
      <c r="V55" s="10"/>
      <c r="W55" s="82">
        <f t="shared" si="12"/>
        <v>1</v>
      </c>
    </row>
    <row r="56" spans="3:23" ht="52.5">
      <c r="C56" s="53" t="s">
        <v>176</v>
      </c>
      <c r="D56" s="77">
        <v>1</v>
      </c>
      <c r="E56" s="51" t="s">
        <v>51</v>
      </c>
      <c r="F56" s="51" t="s">
        <v>52</v>
      </c>
      <c r="G56" s="51" t="s">
        <v>148</v>
      </c>
      <c r="H56" s="59" t="s">
        <v>173</v>
      </c>
      <c r="I56" s="54" t="s">
        <v>177</v>
      </c>
      <c r="J56" s="10"/>
      <c r="K56" s="69" t="s">
        <v>178</v>
      </c>
      <c r="L56" s="70"/>
      <c r="M56" s="70"/>
      <c r="N56" s="80"/>
      <c r="O56" s="95"/>
      <c r="P56" s="96"/>
      <c r="Q56" s="77" t="str">
        <f>IF($O56="N/A","",IF($P56="","",IF($P56&gt;=85%,"C","NC")))</f>
        <v/>
      </c>
      <c r="R56" s="81" t="str">
        <f t="shared" si="11"/>
        <v/>
      </c>
      <c r="S56" s="5"/>
      <c r="T56" s="10"/>
      <c r="U56" s="10"/>
      <c r="V56" s="10"/>
      <c r="W56" s="82">
        <f t="shared" si="12"/>
        <v>1</v>
      </c>
    </row>
    <row r="57" spans="3:23" ht="15.6">
      <c r="C57" s="104"/>
      <c r="D57" s="105"/>
      <c r="E57" s="104"/>
      <c r="F57" s="104"/>
      <c r="G57" s="104"/>
      <c r="H57" s="104"/>
      <c r="I57" s="104"/>
      <c r="J57" s="104"/>
      <c r="K57" s="104"/>
      <c r="L57" s="104"/>
      <c r="M57" s="104"/>
      <c r="N57" s="67"/>
      <c r="O57" s="5"/>
      <c r="P57" s="5"/>
      <c r="Q57" s="5"/>
      <c r="R57" s="84" t="str">
        <f>IF(SUM(R54:R56)=0,"-",IFERROR(SUM(R54:R56),""))</f>
        <v>-</v>
      </c>
      <c r="S57" s="5"/>
      <c r="T57" s="10"/>
      <c r="U57" s="10"/>
      <c r="V57" s="10"/>
      <c r="W57" s="10"/>
    </row>
    <row r="58" spans="3:23" ht="15.6">
      <c r="C58" s="104"/>
      <c r="D58" s="105"/>
      <c r="E58" s="104"/>
      <c r="F58" s="104"/>
      <c r="G58" s="104"/>
      <c r="H58" s="104"/>
      <c r="I58" s="104"/>
      <c r="J58" s="104"/>
      <c r="K58" s="104"/>
      <c r="L58" s="104"/>
      <c r="M58" s="104"/>
      <c r="N58" s="67"/>
      <c r="O58" s="93" t="str">
        <f>IF(O54="N/A",IF(O55="N/A",IF(O56="N/A","N/A","-"),"-"),"-")</f>
        <v>-</v>
      </c>
      <c r="P58" s="94" t="str">
        <f>IF(O58="N/A","N/A",$R58)</f>
        <v>-</v>
      </c>
      <c r="Q58" s="90"/>
      <c r="R58" s="84" t="str">
        <f>IF(R57="-","-",IFERROR(($P54*W54+$P55*W55+$P56*W56)/(SUM(W54:W56)),""))</f>
        <v>-</v>
      </c>
      <c r="S58" s="5"/>
      <c r="T58" s="10"/>
      <c r="U58" s="10"/>
      <c r="V58" s="10"/>
      <c r="W58" s="10"/>
    </row>
    <row r="59" spans="3:23" ht="3.75" customHeight="1">
      <c r="C59" s="55"/>
      <c r="D59" s="85"/>
      <c r="E59" s="55"/>
      <c r="F59" s="55"/>
      <c r="G59" s="55"/>
      <c r="H59" s="55"/>
      <c r="I59" s="55"/>
      <c r="J59" s="55"/>
      <c r="K59" s="55"/>
      <c r="L59" s="55"/>
      <c r="M59" s="55"/>
      <c r="N59" s="67"/>
      <c r="O59" s="5"/>
      <c r="P59" s="5"/>
      <c r="Q59" s="5"/>
      <c r="R59" s="5"/>
      <c r="S59" s="5"/>
    </row>
    <row r="60" spans="3:23" ht="13.5" customHeight="1">
      <c r="C60" s="60" t="s">
        <v>32</v>
      </c>
      <c r="D60" s="60" t="s">
        <v>33</v>
      </c>
      <c r="E60" s="60" t="s">
        <v>34</v>
      </c>
      <c r="F60" s="60" t="s">
        <v>179</v>
      </c>
      <c r="G60" s="60" t="s">
        <v>36</v>
      </c>
      <c r="H60" s="60" t="s">
        <v>37</v>
      </c>
      <c r="I60" s="60" t="s">
        <v>38</v>
      </c>
      <c r="J60" s="56"/>
      <c r="K60" s="109" t="s">
        <v>39</v>
      </c>
      <c r="L60" s="110"/>
      <c r="M60" s="111"/>
      <c r="N60" s="67"/>
      <c r="O60" s="112" t="s">
        <v>40</v>
      </c>
      <c r="P60" s="113"/>
      <c r="Q60" s="114"/>
      <c r="R60" s="55"/>
      <c r="S60" s="5"/>
    </row>
    <row r="61" spans="3:23" ht="3" customHeight="1">
      <c r="C61" s="56"/>
      <c r="D61" s="87"/>
      <c r="E61" s="56"/>
      <c r="F61" s="56"/>
      <c r="G61" s="56"/>
      <c r="H61" s="56"/>
      <c r="I61" s="56"/>
      <c r="J61" s="56"/>
      <c r="K61" s="58"/>
      <c r="L61" s="58"/>
      <c r="M61" s="58"/>
      <c r="N61" s="80"/>
      <c r="R61" s="58"/>
    </row>
    <row r="62" spans="3:23" ht="14.25" customHeight="1">
      <c r="C62" s="55"/>
      <c r="D62" s="51">
        <v>3</v>
      </c>
      <c r="E62" s="55"/>
      <c r="F62" s="55"/>
      <c r="G62" s="55"/>
      <c r="H62" s="55"/>
      <c r="I62" s="61" t="s">
        <v>180</v>
      </c>
      <c r="J62" s="55"/>
      <c r="K62" s="60" t="s">
        <v>42</v>
      </c>
      <c r="L62" s="60" t="s">
        <v>43</v>
      </c>
      <c r="M62" s="60" t="s">
        <v>44</v>
      </c>
      <c r="N62" s="67"/>
      <c r="O62" s="7" t="s">
        <v>45</v>
      </c>
      <c r="P62" s="7" t="s">
        <v>46</v>
      </c>
      <c r="Q62" s="7" t="s">
        <v>47</v>
      </c>
      <c r="R62" s="60" t="s">
        <v>48</v>
      </c>
      <c r="S62" s="5"/>
    </row>
    <row r="63" spans="3:23" ht="3" customHeight="1">
      <c r="C63" s="55"/>
      <c r="D63" s="85"/>
      <c r="E63" s="55"/>
      <c r="F63" s="55"/>
      <c r="G63" s="55"/>
      <c r="H63" s="55"/>
      <c r="I63" s="55"/>
      <c r="J63" s="55"/>
      <c r="K63" s="62"/>
      <c r="L63" s="62"/>
      <c r="M63" s="62"/>
      <c r="N63" s="67"/>
      <c r="O63" s="88"/>
      <c r="P63" s="88"/>
      <c r="Q63" s="88"/>
      <c r="R63" s="88"/>
      <c r="S63" s="5"/>
    </row>
    <row r="64" spans="3:23" ht="12" customHeight="1">
      <c r="C64" s="55"/>
      <c r="D64" s="51">
        <v>3</v>
      </c>
      <c r="E64" s="55"/>
      <c r="F64" s="55"/>
      <c r="G64" s="55"/>
      <c r="H64" s="55"/>
      <c r="I64" s="57" t="s">
        <v>181</v>
      </c>
      <c r="J64" s="55"/>
      <c r="K64" s="62"/>
      <c r="L64" s="62"/>
      <c r="M64" s="62"/>
      <c r="N64" s="67"/>
      <c r="O64" s="88"/>
      <c r="P64" s="88"/>
      <c r="Q64" s="88"/>
      <c r="R64" s="88"/>
      <c r="S64" s="5"/>
      <c r="W64" s="7" t="s">
        <v>48</v>
      </c>
    </row>
    <row r="65" spans="3:23" ht="141" customHeight="1">
      <c r="C65" s="78" t="s">
        <v>182</v>
      </c>
      <c r="D65" s="51">
        <v>5</v>
      </c>
      <c r="E65" s="51" t="s">
        <v>51</v>
      </c>
      <c r="F65" s="63" t="s">
        <v>52</v>
      </c>
      <c r="G65" s="51" t="s">
        <v>183</v>
      </c>
      <c r="H65" s="64">
        <v>153105</v>
      </c>
      <c r="I65" s="53" t="s">
        <v>184</v>
      </c>
      <c r="J65" s="58"/>
      <c r="K65" s="69" t="s">
        <v>185</v>
      </c>
      <c r="L65" s="70"/>
      <c r="M65" s="70"/>
      <c r="N65" s="80"/>
      <c r="O65" s="95"/>
      <c r="P65" s="96"/>
      <c r="Q65" s="77" t="str">
        <f t="shared" ref="Q65:Q85" si="13">IF($O65="N/A","",IF($P65="","",IF($P65&gt;=85%,"C","NC")))</f>
        <v/>
      </c>
      <c r="R65" s="81" t="str">
        <f t="shared" ref="R65:R85" si="14">IF($O65="N/A","",IF($P65="","",$P65*$W65))</f>
        <v/>
      </c>
      <c r="S65" s="5"/>
      <c r="T65" s="10"/>
      <c r="U65" s="10"/>
      <c r="V65" s="10"/>
      <c r="W65" s="82">
        <f t="shared" ref="W65:W85" si="15">IF(O65="N/A",0,D65)</f>
        <v>5</v>
      </c>
    </row>
    <row r="66" spans="3:23" ht="15.6">
      <c r="C66" s="78" t="s">
        <v>186</v>
      </c>
      <c r="D66" s="51">
        <v>4</v>
      </c>
      <c r="E66" s="51" t="s">
        <v>51</v>
      </c>
      <c r="F66" s="63" t="s">
        <v>52</v>
      </c>
      <c r="G66" s="51" t="s">
        <v>183</v>
      </c>
      <c r="H66" s="64">
        <v>153105</v>
      </c>
      <c r="I66" s="53" t="s">
        <v>187</v>
      </c>
      <c r="J66" s="58"/>
      <c r="K66" s="69" t="s">
        <v>185</v>
      </c>
      <c r="L66" s="70"/>
      <c r="M66" s="70"/>
      <c r="N66" s="80"/>
      <c r="O66" s="95"/>
      <c r="P66" s="96"/>
      <c r="Q66" s="77" t="str">
        <f t="shared" si="13"/>
        <v/>
      </c>
      <c r="R66" s="81" t="str">
        <f t="shared" si="14"/>
        <v/>
      </c>
      <c r="S66" s="5"/>
      <c r="T66" s="10"/>
      <c r="U66" s="10"/>
      <c r="V66" s="10"/>
      <c r="W66" s="82">
        <f t="shared" si="15"/>
        <v>4</v>
      </c>
    </row>
    <row r="67" spans="3:23" ht="15.6">
      <c r="C67" s="78" t="s">
        <v>188</v>
      </c>
      <c r="D67" s="51">
        <v>3</v>
      </c>
      <c r="E67" s="51" t="s">
        <v>51</v>
      </c>
      <c r="F67" s="63" t="s">
        <v>52</v>
      </c>
      <c r="G67" s="51" t="s">
        <v>183</v>
      </c>
      <c r="H67" s="64">
        <v>153105</v>
      </c>
      <c r="I67" s="53" t="s">
        <v>189</v>
      </c>
      <c r="J67" s="58"/>
      <c r="K67" s="69" t="s">
        <v>185</v>
      </c>
      <c r="L67" s="70"/>
      <c r="M67" s="70"/>
      <c r="N67" s="80"/>
      <c r="O67" s="95"/>
      <c r="P67" s="96"/>
      <c r="Q67" s="77" t="str">
        <f t="shared" si="13"/>
        <v/>
      </c>
      <c r="R67" s="81" t="str">
        <f t="shared" si="14"/>
        <v/>
      </c>
      <c r="S67" s="5"/>
      <c r="T67" s="10"/>
      <c r="U67" s="10"/>
      <c r="V67" s="10"/>
      <c r="W67" s="82">
        <f t="shared" si="15"/>
        <v>3</v>
      </c>
    </row>
    <row r="68" spans="3:23" ht="15.6">
      <c r="C68" s="78" t="s">
        <v>190</v>
      </c>
      <c r="D68" s="51">
        <v>3</v>
      </c>
      <c r="E68" s="51" t="s">
        <v>51</v>
      </c>
      <c r="F68" s="63" t="s">
        <v>52</v>
      </c>
      <c r="G68" s="51" t="s">
        <v>183</v>
      </c>
      <c r="H68" s="64">
        <v>153105</v>
      </c>
      <c r="I68" s="54" t="s">
        <v>191</v>
      </c>
      <c r="J68" s="58"/>
      <c r="K68" s="69" t="s">
        <v>192</v>
      </c>
      <c r="L68" s="70"/>
      <c r="M68" s="70"/>
      <c r="N68" s="80"/>
      <c r="O68" s="95"/>
      <c r="P68" s="96"/>
      <c r="Q68" s="77" t="str">
        <f t="shared" si="13"/>
        <v/>
      </c>
      <c r="R68" s="81" t="str">
        <f t="shared" si="14"/>
        <v/>
      </c>
      <c r="S68" s="5"/>
      <c r="T68" s="10"/>
      <c r="U68" s="10"/>
      <c r="V68" s="10"/>
      <c r="W68" s="82">
        <f t="shared" si="15"/>
        <v>3</v>
      </c>
    </row>
    <row r="69" spans="3:23" ht="15.6">
      <c r="C69" s="78" t="s">
        <v>193</v>
      </c>
      <c r="D69" s="51">
        <v>2</v>
      </c>
      <c r="E69" s="51" t="s">
        <v>58</v>
      </c>
      <c r="F69" s="63" t="s">
        <v>52</v>
      </c>
      <c r="G69" s="51" t="s">
        <v>183</v>
      </c>
      <c r="H69" s="64">
        <v>153105</v>
      </c>
      <c r="I69" s="54" t="s">
        <v>194</v>
      </c>
      <c r="J69" s="58"/>
      <c r="K69" s="69" t="s">
        <v>192</v>
      </c>
      <c r="L69" s="70"/>
      <c r="M69" s="70"/>
      <c r="N69" s="80"/>
      <c r="O69" s="95"/>
      <c r="P69" s="96"/>
      <c r="Q69" s="77" t="str">
        <f t="shared" si="13"/>
        <v/>
      </c>
      <c r="R69" s="81" t="str">
        <f t="shared" si="14"/>
        <v/>
      </c>
      <c r="S69" s="5"/>
      <c r="T69" s="10"/>
      <c r="U69" s="10"/>
      <c r="V69" s="10"/>
      <c r="W69" s="82">
        <f t="shared" si="15"/>
        <v>2</v>
      </c>
    </row>
    <row r="70" spans="3:23" ht="21">
      <c r="C70" s="78" t="s">
        <v>195</v>
      </c>
      <c r="D70" s="51">
        <v>2</v>
      </c>
      <c r="E70" s="51" t="s">
        <v>58</v>
      </c>
      <c r="F70" s="63" t="s">
        <v>52</v>
      </c>
      <c r="G70" s="51" t="s">
        <v>183</v>
      </c>
      <c r="H70" s="64">
        <v>153105</v>
      </c>
      <c r="I70" s="54" t="s">
        <v>196</v>
      </c>
      <c r="J70" s="58"/>
      <c r="K70" s="69" t="s">
        <v>197</v>
      </c>
      <c r="L70" s="70"/>
      <c r="M70" s="70"/>
      <c r="N70" s="80"/>
      <c r="O70" s="95"/>
      <c r="P70" s="96"/>
      <c r="Q70" s="77" t="str">
        <f t="shared" si="13"/>
        <v/>
      </c>
      <c r="R70" s="81" t="str">
        <f t="shared" si="14"/>
        <v/>
      </c>
      <c r="S70" s="5"/>
      <c r="T70" s="10"/>
      <c r="U70" s="10"/>
      <c r="V70" s="10"/>
      <c r="W70" s="82">
        <f t="shared" si="15"/>
        <v>2</v>
      </c>
    </row>
    <row r="71" spans="3:23" ht="52.5">
      <c r="C71" s="78" t="s">
        <v>198</v>
      </c>
      <c r="D71" s="51">
        <v>2</v>
      </c>
      <c r="E71" s="51" t="s">
        <v>58</v>
      </c>
      <c r="F71" s="63" t="s">
        <v>85</v>
      </c>
      <c r="G71" s="51" t="s">
        <v>183</v>
      </c>
      <c r="H71" s="64" t="s">
        <v>199</v>
      </c>
      <c r="I71" s="54" t="s">
        <v>200</v>
      </c>
      <c r="J71" s="58"/>
      <c r="K71" s="69" t="s">
        <v>201</v>
      </c>
      <c r="L71" s="70"/>
      <c r="M71" s="70"/>
      <c r="N71" s="80"/>
      <c r="O71" s="95"/>
      <c r="P71" s="96"/>
      <c r="Q71" s="77" t="str">
        <f t="shared" si="13"/>
        <v/>
      </c>
      <c r="R71" s="81" t="str">
        <f t="shared" si="14"/>
        <v/>
      </c>
      <c r="S71" s="5"/>
      <c r="T71" s="10"/>
      <c r="U71" s="10"/>
      <c r="V71" s="10"/>
      <c r="W71" s="82">
        <f t="shared" si="15"/>
        <v>2</v>
      </c>
    </row>
    <row r="72" spans="3:23" ht="15.6">
      <c r="C72" s="78" t="s">
        <v>202</v>
      </c>
      <c r="D72" s="51">
        <v>4</v>
      </c>
      <c r="E72" s="51" t="s">
        <v>51</v>
      </c>
      <c r="F72" s="63" t="s">
        <v>52</v>
      </c>
      <c r="G72" s="51" t="s">
        <v>183</v>
      </c>
      <c r="H72" s="64">
        <v>153105</v>
      </c>
      <c r="I72" s="54" t="s">
        <v>203</v>
      </c>
      <c r="J72" s="58"/>
      <c r="K72" s="69" t="s">
        <v>185</v>
      </c>
      <c r="L72" s="70"/>
      <c r="M72" s="70"/>
      <c r="N72" s="80"/>
      <c r="O72" s="95"/>
      <c r="P72" s="96"/>
      <c r="Q72" s="77" t="str">
        <f t="shared" si="13"/>
        <v/>
      </c>
      <c r="R72" s="81" t="str">
        <f t="shared" si="14"/>
        <v/>
      </c>
      <c r="S72" s="5"/>
      <c r="T72" s="10"/>
      <c r="U72" s="10"/>
      <c r="V72" s="10"/>
      <c r="W72" s="82">
        <f t="shared" si="15"/>
        <v>4</v>
      </c>
    </row>
    <row r="73" spans="3:23" ht="15.6">
      <c r="C73" s="78" t="s">
        <v>204</v>
      </c>
      <c r="D73" s="51">
        <v>2</v>
      </c>
      <c r="E73" s="51" t="s">
        <v>143</v>
      </c>
      <c r="F73" s="63" t="s">
        <v>52</v>
      </c>
      <c r="G73" s="51" t="s">
        <v>183</v>
      </c>
      <c r="H73" s="64">
        <v>153105</v>
      </c>
      <c r="I73" s="54" t="s">
        <v>205</v>
      </c>
      <c r="J73" s="58"/>
      <c r="K73" s="69" t="s">
        <v>206</v>
      </c>
      <c r="L73" s="70"/>
      <c r="M73" s="70"/>
      <c r="N73" s="80"/>
      <c r="O73" s="95"/>
      <c r="P73" s="96"/>
      <c r="Q73" s="77" t="str">
        <f t="shared" si="13"/>
        <v/>
      </c>
      <c r="R73" s="81" t="str">
        <f t="shared" si="14"/>
        <v/>
      </c>
      <c r="S73" s="5"/>
      <c r="T73" s="10"/>
      <c r="U73" s="10"/>
      <c r="V73" s="10"/>
      <c r="W73" s="82">
        <f t="shared" si="15"/>
        <v>2</v>
      </c>
    </row>
    <row r="74" spans="3:23" ht="15.6">
      <c r="C74" s="78" t="s">
        <v>207</v>
      </c>
      <c r="D74" s="51">
        <v>3</v>
      </c>
      <c r="E74" s="51" t="s">
        <v>58</v>
      </c>
      <c r="F74" s="63" t="s">
        <v>52</v>
      </c>
      <c r="G74" s="51" t="s">
        <v>63</v>
      </c>
      <c r="H74" s="51" t="s">
        <v>208</v>
      </c>
      <c r="I74" s="54" t="s">
        <v>209</v>
      </c>
      <c r="J74" s="58"/>
      <c r="K74" s="69" t="s">
        <v>185</v>
      </c>
      <c r="L74" s="70"/>
      <c r="M74" s="70"/>
      <c r="N74" s="80"/>
      <c r="O74" s="95"/>
      <c r="P74" s="96"/>
      <c r="Q74" s="77" t="str">
        <f t="shared" si="13"/>
        <v/>
      </c>
      <c r="R74" s="81" t="str">
        <f t="shared" si="14"/>
        <v/>
      </c>
      <c r="S74" s="5"/>
      <c r="T74" s="10"/>
      <c r="U74" s="10"/>
      <c r="V74" s="10"/>
      <c r="W74" s="82">
        <f t="shared" si="15"/>
        <v>3</v>
      </c>
    </row>
    <row r="75" spans="3:23" ht="35.450000000000003" customHeight="1">
      <c r="C75" s="78" t="s">
        <v>210</v>
      </c>
      <c r="D75" s="51">
        <v>1</v>
      </c>
      <c r="E75" s="51" t="s">
        <v>143</v>
      </c>
      <c r="F75" s="63" t="s">
        <v>52</v>
      </c>
      <c r="G75" s="51" t="s">
        <v>183</v>
      </c>
      <c r="H75" s="64">
        <v>153105</v>
      </c>
      <c r="I75" s="54" t="s">
        <v>211</v>
      </c>
      <c r="J75" s="58"/>
      <c r="K75" s="69" t="s">
        <v>212</v>
      </c>
      <c r="L75" s="70"/>
      <c r="M75" s="70"/>
      <c r="N75" s="80"/>
      <c r="O75" s="95"/>
      <c r="P75" s="96"/>
      <c r="Q75" s="77" t="str">
        <f t="shared" si="13"/>
        <v/>
      </c>
      <c r="R75" s="81" t="str">
        <f t="shared" si="14"/>
        <v/>
      </c>
      <c r="S75" s="5"/>
      <c r="T75" s="10"/>
      <c r="U75" s="10"/>
      <c r="V75" s="10"/>
      <c r="W75" s="82">
        <f t="shared" si="15"/>
        <v>1</v>
      </c>
    </row>
    <row r="76" spans="3:23" ht="78" customHeight="1">
      <c r="C76" s="78" t="s">
        <v>213</v>
      </c>
      <c r="D76" s="51">
        <v>3</v>
      </c>
      <c r="E76" s="51" t="s">
        <v>51</v>
      </c>
      <c r="F76" s="63" t="s">
        <v>52</v>
      </c>
      <c r="G76" s="51"/>
      <c r="H76" s="51" t="s">
        <v>214</v>
      </c>
      <c r="I76" s="54" t="s">
        <v>215</v>
      </c>
      <c r="J76" s="58"/>
      <c r="K76" s="69" t="s">
        <v>216</v>
      </c>
      <c r="L76" s="70"/>
      <c r="M76" s="70"/>
      <c r="N76" s="80"/>
      <c r="O76" s="95"/>
      <c r="P76" s="96"/>
      <c r="Q76" s="77" t="str">
        <f t="shared" si="13"/>
        <v/>
      </c>
      <c r="R76" s="81" t="str">
        <f t="shared" si="14"/>
        <v/>
      </c>
      <c r="S76" s="5"/>
      <c r="T76" s="10"/>
      <c r="U76" s="10"/>
      <c r="V76" s="10"/>
      <c r="W76" s="82">
        <f t="shared" si="15"/>
        <v>3</v>
      </c>
    </row>
    <row r="77" spans="3:23" ht="228" customHeight="1">
      <c r="C77" s="78" t="s">
        <v>217</v>
      </c>
      <c r="D77" s="51">
        <v>5</v>
      </c>
      <c r="E77" s="51" t="s">
        <v>51</v>
      </c>
      <c r="F77" s="63" t="s">
        <v>52</v>
      </c>
      <c r="G77" s="51"/>
      <c r="H77" s="51" t="s">
        <v>218</v>
      </c>
      <c r="I77" s="54" t="s">
        <v>219</v>
      </c>
      <c r="J77" s="58"/>
      <c r="K77" s="69" t="s">
        <v>220</v>
      </c>
      <c r="L77" s="70"/>
      <c r="M77" s="70"/>
      <c r="N77" s="80"/>
      <c r="O77" s="95"/>
      <c r="P77" s="96"/>
      <c r="Q77" s="77" t="str">
        <f t="shared" si="13"/>
        <v/>
      </c>
      <c r="R77" s="81" t="str">
        <f t="shared" si="14"/>
        <v/>
      </c>
      <c r="S77" s="5"/>
      <c r="T77" s="10"/>
      <c r="U77" s="10"/>
      <c r="V77" s="10"/>
      <c r="W77" s="82">
        <f t="shared" si="15"/>
        <v>5</v>
      </c>
    </row>
    <row r="78" spans="3:23" ht="30" customHeight="1">
      <c r="C78" s="78" t="s">
        <v>221</v>
      </c>
      <c r="D78" s="51">
        <v>4</v>
      </c>
      <c r="E78" s="51" t="s">
        <v>51</v>
      </c>
      <c r="F78" s="63" t="s">
        <v>52</v>
      </c>
      <c r="G78" s="51" t="s">
        <v>222</v>
      </c>
      <c r="H78" s="59" t="s">
        <v>223</v>
      </c>
      <c r="I78" s="54" t="s">
        <v>224</v>
      </c>
      <c r="J78" s="58"/>
      <c r="K78" s="69" t="s">
        <v>225</v>
      </c>
      <c r="L78" s="70"/>
      <c r="M78" s="70"/>
      <c r="N78" s="80"/>
      <c r="O78" s="95"/>
      <c r="P78" s="96"/>
      <c r="Q78" s="77" t="str">
        <f t="shared" si="13"/>
        <v/>
      </c>
      <c r="R78" s="81" t="str">
        <f t="shared" si="14"/>
        <v/>
      </c>
      <c r="S78" s="5"/>
      <c r="T78" s="10"/>
      <c r="U78" s="10"/>
      <c r="V78" s="10"/>
      <c r="W78" s="82">
        <f t="shared" si="15"/>
        <v>4</v>
      </c>
    </row>
    <row r="79" spans="3:23" ht="21">
      <c r="C79" s="78" t="s">
        <v>226</v>
      </c>
      <c r="D79" s="51">
        <v>5</v>
      </c>
      <c r="E79" s="51" t="s">
        <v>143</v>
      </c>
      <c r="F79" s="63" t="s">
        <v>52</v>
      </c>
      <c r="G79" s="51"/>
      <c r="H79" s="59">
        <v>153105</v>
      </c>
      <c r="I79" s="54" t="s">
        <v>227</v>
      </c>
      <c r="J79" s="58"/>
      <c r="K79" s="69" t="s">
        <v>228</v>
      </c>
      <c r="L79" s="70"/>
      <c r="M79" s="70"/>
      <c r="N79" s="80"/>
      <c r="O79" s="95"/>
      <c r="P79" s="96"/>
      <c r="Q79" s="77" t="str">
        <f t="shared" si="13"/>
        <v/>
      </c>
      <c r="R79" s="81" t="str">
        <f t="shared" si="14"/>
        <v/>
      </c>
      <c r="S79" s="5"/>
      <c r="T79" s="10"/>
      <c r="U79" s="10"/>
      <c r="V79" s="10"/>
      <c r="W79" s="82">
        <f t="shared" si="15"/>
        <v>5</v>
      </c>
    </row>
    <row r="80" spans="3:23" ht="43.35" customHeight="1">
      <c r="C80" s="78" t="s">
        <v>229</v>
      </c>
      <c r="D80" s="51">
        <v>5</v>
      </c>
      <c r="E80" s="51" t="s">
        <v>143</v>
      </c>
      <c r="F80" s="63" t="s">
        <v>52</v>
      </c>
      <c r="G80" s="51"/>
      <c r="H80" s="59">
        <v>153105</v>
      </c>
      <c r="I80" s="54" t="s">
        <v>230</v>
      </c>
      <c r="J80" s="58"/>
      <c r="K80" s="69"/>
      <c r="L80" s="70"/>
      <c r="M80" s="70"/>
      <c r="N80" s="80"/>
      <c r="O80" s="95"/>
      <c r="P80" s="96"/>
      <c r="Q80" s="77" t="str">
        <f t="shared" si="13"/>
        <v/>
      </c>
      <c r="R80" s="81" t="str">
        <f t="shared" si="14"/>
        <v/>
      </c>
      <c r="S80" s="5"/>
      <c r="T80" s="10"/>
      <c r="U80" s="10"/>
      <c r="V80" s="10"/>
      <c r="W80" s="82">
        <f t="shared" si="15"/>
        <v>5</v>
      </c>
    </row>
    <row r="81" spans="3:23" ht="15.6">
      <c r="C81" s="78" t="s">
        <v>231</v>
      </c>
      <c r="D81" s="51">
        <v>3</v>
      </c>
      <c r="E81" s="51" t="s">
        <v>232</v>
      </c>
      <c r="F81" s="63" t="s">
        <v>52</v>
      </c>
      <c r="G81" s="51"/>
      <c r="H81" s="59">
        <v>153105</v>
      </c>
      <c r="I81" s="54" t="s">
        <v>233</v>
      </c>
      <c r="J81" s="58"/>
      <c r="K81" s="69"/>
      <c r="L81" s="70"/>
      <c r="M81" s="70"/>
      <c r="N81" s="80"/>
      <c r="O81" s="95"/>
      <c r="P81" s="96"/>
      <c r="Q81" s="77" t="str">
        <f t="shared" si="13"/>
        <v/>
      </c>
      <c r="R81" s="81" t="str">
        <f t="shared" si="14"/>
        <v/>
      </c>
      <c r="S81" s="5"/>
      <c r="T81" s="10"/>
      <c r="U81" s="10"/>
      <c r="V81" s="10"/>
      <c r="W81" s="82">
        <f t="shared" si="15"/>
        <v>3</v>
      </c>
    </row>
    <row r="82" spans="3:23" ht="33" customHeight="1">
      <c r="C82" s="78" t="s">
        <v>234</v>
      </c>
      <c r="D82" s="51">
        <v>4</v>
      </c>
      <c r="E82" s="51" t="s">
        <v>58</v>
      </c>
      <c r="F82" s="63" t="s">
        <v>52</v>
      </c>
      <c r="G82" s="51"/>
      <c r="H82" s="59">
        <v>153105</v>
      </c>
      <c r="I82" s="54" t="s">
        <v>235</v>
      </c>
      <c r="J82" s="58"/>
      <c r="K82" s="69" t="s">
        <v>236</v>
      </c>
      <c r="L82" s="70"/>
      <c r="M82" s="70"/>
      <c r="N82" s="80"/>
      <c r="O82" s="95"/>
      <c r="P82" s="96"/>
      <c r="Q82" s="77" t="str">
        <f t="shared" si="13"/>
        <v/>
      </c>
      <c r="R82" s="81" t="str">
        <f t="shared" si="14"/>
        <v/>
      </c>
      <c r="S82" s="5"/>
      <c r="T82" s="10"/>
      <c r="U82" s="10"/>
      <c r="V82" s="10"/>
      <c r="W82" s="82">
        <f t="shared" si="15"/>
        <v>4</v>
      </c>
    </row>
    <row r="83" spans="3:23" ht="15.6">
      <c r="C83" s="78" t="s">
        <v>237</v>
      </c>
      <c r="D83" s="51">
        <v>3</v>
      </c>
      <c r="E83" s="51" t="s">
        <v>143</v>
      </c>
      <c r="F83" s="63" t="s">
        <v>52</v>
      </c>
      <c r="G83" s="51"/>
      <c r="H83" s="59">
        <v>153105</v>
      </c>
      <c r="I83" s="54" t="s">
        <v>238</v>
      </c>
      <c r="J83" s="58"/>
      <c r="K83" s="69" t="s">
        <v>239</v>
      </c>
      <c r="L83" s="70"/>
      <c r="M83" s="70"/>
      <c r="N83" s="80"/>
      <c r="O83" s="95"/>
      <c r="P83" s="96"/>
      <c r="Q83" s="77" t="str">
        <f t="shared" si="13"/>
        <v/>
      </c>
      <c r="R83" s="81" t="str">
        <f t="shared" si="14"/>
        <v/>
      </c>
      <c r="S83" s="5"/>
      <c r="T83" s="10"/>
      <c r="U83" s="10"/>
      <c r="V83" s="10"/>
      <c r="W83" s="82">
        <f t="shared" si="15"/>
        <v>3</v>
      </c>
    </row>
    <row r="84" spans="3:23" ht="15.6">
      <c r="C84" s="78" t="s">
        <v>240</v>
      </c>
      <c r="D84" s="51">
        <v>3</v>
      </c>
      <c r="E84" s="51" t="s">
        <v>143</v>
      </c>
      <c r="F84" s="63" t="s">
        <v>52</v>
      </c>
      <c r="G84" s="51"/>
      <c r="H84" s="59">
        <v>153105</v>
      </c>
      <c r="I84" s="54" t="s">
        <v>241</v>
      </c>
      <c r="J84" s="58"/>
      <c r="K84" s="69"/>
      <c r="L84" s="70"/>
      <c r="M84" s="70"/>
      <c r="N84" s="80"/>
      <c r="O84" s="95"/>
      <c r="P84" s="96"/>
      <c r="Q84" s="77" t="str">
        <f t="shared" si="13"/>
        <v/>
      </c>
      <c r="R84" s="81" t="str">
        <f t="shared" si="14"/>
        <v/>
      </c>
      <c r="S84" s="5"/>
      <c r="T84" s="10"/>
      <c r="U84" s="10"/>
      <c r="V84" s="10"/>
      <c r="W84" s="82">
        <f t="shared" si="15"/>
        <v>3</v>
      </c>
    </row>
    <row r="85" spans="3:23" ht="85.7" customHeight="1">
      <c r="C85" s="78" t="s">
        <v>242</v>
      </c>
      <c r="D85" s="51">
        <v>2</v>
      </c>
      <c r="E85" s="51" t="s">
        <v>232</v>
      </c>
      <c r="F85" s="63" t="s">
        <v>52</v>
      </c>
      <c r="G85" s="51"/>
      <c r="H85" s="59">
        <v>153105</v>
      </c>
      <c r="I85" s="54" t="s">
        <v>243</v>
      </c>
      <c r="J85" s="58"/>
      <c r="K85" s="69"/>
      <c r="L85" s="70"/>
      <c r="M85" s="70"/>
      <c r="N85" s="80"/>
      <c r="O85" s="95"/>
      <c r="P85" s="96"/>
      <c r="Q85" s="77" t="str">
        <f t="shared" si="13"/>
        <v/>
      </c>
      <c r="R85" s="81" t="str">
        <f t="shared" si="14"/>
        <v/>
      </c>
      <c r="S85" s="5"/>
      <c r="T85" s="10"/>
      <c r="U85" s="10"/>
      <c r="V85" s="10"/>
      <c r="W85" s="82">
        <f t="shared" si="15"/>
        <v>2</v>
      </c>
    </row>
    <row r="86" spans="3:23" ht="15.6">
      <c r="C86" s="104"/>
      <c r="D86" s="105"/>
      <c r="E86" s="104"/>
      <c r="F86" s="104"/>
      <c r="G86" s="104"/>
      <c r="H86" s="104"/>
      <c r="I86" s="104"/>
      <c r="J86" s="104"/>
      <c r="K86" s="104"/>
      <c r="L86" s="104"/>
      <c r="M86" s="104"/>
      <c r="N86" s="67"/>
      <c r="O86" s="5"/>
      <c r="P86" s="5"/>
      <c r="Q86" s="5"/>
      <c r="R86" s="84" t="str">
        <f>IF(SUM(R65:R85)=0,"-",IFERROR(SUM(R65:R85),""))</f>
        <v>-</v>
      </c>
      <c r="S86" s="5"/>
    </row>
    <row r="87" spans="3:23" ht="15.6">
      <c r="C87" s="104"/>
      <c r="D87" s="105"/>
      <c r="E87" s="104"/>
      <c r="F87" s="104"/>
      <c r="G87" s="104"/>
      <c r="H87" s="104"/>
      <c r="I87" s="104"/>
      <c r="J87" s="104"/>
      <c r="K87" s="104"/>
      <c r="L87" s="104"/>
      <c r="M87" s="104"/>
      <c r="N87" s="67"/>
      <c r="O87" s="93" t="str">
        <f>IF(O65="N/A",IF(O66="N/A",IF(O67="N/A",IF(O68="N/A",IF(O69="N/A",IF(O70="N/A",IF(O71="N/A",IF(O72="N/A",IF(O73="N/A",IF(O74="N/A",IF(O75="N/A",IF(O76="N/A",IF(O77="N/A",IF(O78="N/A",IF(O79="N/A",IF(O80="N/A",IF(O81="N/A",IF(O82="N/A",IF(O83="N/A",IF(O84="N/A",IF(O85="N/A","N/A","-"),"-"),"-"),"-"),"-"),"-"),"-"),"-"),"-"),"-"),"-"),"-"),"-"),"-"),"-"),"-"),"-"),"-"),"-"),"-"),"-")</f>
        <v>-</v>
      </c>
      <c r="P87" s="94" t="str">
        <f>IF(O87="N/A","N/A",$R87)</f>
        <v>-</v>
      </c>
      <c r="Q87" s="90"/>
      <c r="R87" s="84" t="str">
        <f>IF(R86="-","-",IFERROR(($P65*W65+$P66*W66+$P67*W67+$P68*W68+$P69*W69+$P70*W70+$P71*W71+$P72*W72+$P73*W73+$P74*W74+$P75*W75+$P76*W76+$P77*W77+$P78*W78+$P79*W79+$P80*W80+$P81*W81+$P82*W82+$P83*W83+$P84*W84+$P85*W85)/(SUM(W65:W85)),""))</f>
        <v>-</v>
      </c>
      <c r="S87" s="5"/>
    </row>
    <row r="88" spans="3:23" ht="3.75" customHeight="1">
      <c r="C88" s="55"/>
      <c r="D88" s="85"/>
      <c r="E88" s="55"/>
      <c r="F88" s="55"/>
      <c r="G88" s="55"/>
      <c r="H88" s="55"/>
      <c r="I88" s="55"/>
      <c r="J88" s="55"/>
      <c r="K88" s="55"/>
      <c r="L88" s="55"/>
      <c r="M88" s="55"/>
      <c r="N88" s="67"/>
      <c r="O88" s="5"/>
      <c r="P88" s="5"/>
      <c r="Q88" s="5"/>
      <c r="R88" s="5"/>
      <c r="S88" s="5"/>
    </row>
    <row r="89" spans="3:23" ht="13.5" customHeight="1">
      <c r="C89" s="60" t="s">
        <v>32</v>
      </c>
      <c r="D89" s="60" t="s">
        <v>33</v>
      </c>
      <c r="E89" s="60" t="s">
        <v>34</v>
      </c>
      <c r="F89" s="60" t="s">
        <v>179</v>
      </c>
      <c r="G89" s="60" t="s">
        <v>36</v>
      </c>
      <c r="H89" s="60" t="s">
        <v>37</v>
      </c>
      <c r="I89" s="60" t="s">
        <v>38</v>
      </c>
      <c r="J89" s="56"/>
      <c r="K89" s="109" t="s">
        <v>39</v>
      </c>
      <c r="L89" s="110"/>
      <c r="M89" s="111"/>
      <c r="N89" s="67"/>
      <c r="O89" s="112" t="s">
        <v>40</v>
      </c>
      <c r="P89" s="113"/>
      <c r="Q89" s="114"/>
      <c r="R89" s="55"/>
      <c r="S89" s="5"/>
    </row>
    <row r="90" spans="3:23" ht="3" customHeight="1">
      <c r="C90" s="56"/>
      <c r="D90" s="87"/>
      <c r="E90" s="56"/>
      <c r="F90" s="56"/>
      <c r="G90" s="56"/>
      <c r="H90" s="56"/>
      <c r="I90" s="56"/>
      <c r="J90" s="56"/>
      <c r="K90" s="58"/>
      <c r="L90" s="58"/>
      <c r="M90" s="58"/>
      <c r="N90" s="80"/>
      <c r="R90" s="58"/>
    </row>
    <row r="91" spans="3:23" ht="14.25" customHeight="1">
      <c r="C91" s="55"/>
      <c r="D91" s="51">
        <v>5</v>
      </c>
      <c r="E91" s="55"/>
      <c r="F91" s="55"/>
      <c r="G91" s="55"/>
      <c r="H91" s="55"/>
      <c r="I91" s="61" t="s">
        <v>244</v>
      </c>
      <c r="J91" s="55"/>
      <c r="K91" s="60" t="s">
        <v>42</v>
      </c>
      <c r="L91" s="60" t="s">
        <v>43</v>
      </c>
      <c r="M91" s="60" t="s">
        <v>44</v>
      </c>
      <c r="N91" s="67"/>
      <c r="O91" s="7" t="s">
        <v>45</v>
      </c>
      <c r="P91" s="7" t="s">
        <v>46</v>
      </c>
      <c r="Q91" s="7" t="s">
        <v>47</v>
      </c>
      <c r="R91" s="60" t="s">
        <v>48</v>
      </c>
      <c r="S91" s="5"/>
    </row>
    <row r="92" spans="3:23" ht="3.75" customHeight="1">
      <c r="C92" s="55"/>
      <c r="D92" s="85"/>
      <c r="E92" s="55"/>
      <c r="F92" s="55"/>
      <c r="G92" s="55"/>
      <c r="H92" s="55"/>
      <c r="I92" s="55"/>
      <c r="J92" s="55"/>
      <c r="K92" s="55"/>
      <c r="L92" s="55"/>
      <c r="M92" s="55"/>
      <c r="N92" s="67"/>
      <c r="O92" s="5"/>
      <c r="P92" s="5"/>
      <c r="Q92" s="5"/>
      <c r="R92" s="5"/>
      <c r="S92" s="5"/>
    </row>
    <row r="93" spans="3:23" ht="14.25" customHeight="1">
      <c r="C93" s="55"/>
      <c r="D93" s="86">
        <v>3</v>
      </c>
      <c r="E93" s="56"/>
      <c r="F93" s="56"/>
      <c r="G93" s="56"/>
      <c r="H93" s="56"/>
      <c r="I93" s="57" t="s">
        <v>245</v>
      </c>
      <c r="J93" s="58"/>
      <c r="K93" s="55"/>
      <c r="L93" s="55"/>
      <c r="M93" s="55"/>
      <c r="N93" s="67"/>
      <c r="R93" s="47"/>
      <c r="S93" s="10"/>
      <c r="T93" s="10"/>
      <c r="U93" s="10"/>
      <c r="V93" s="10"/>
      <c r="W93" s="7" t="s">
        <v>48</v>
      </c>
    </row>
    <row r="94" spans="3:23" ht="63">
      <c r="C94" s="53" t="s">
        <v>246</v>
      </c>
      <c r="D94" s="51">
        <v>5</v>
      </c>
      <c r="E94" s="51" t="s">
        <v>143</v>
      </c>
      <c r="F94" s="51" t="s">
        <v>52</v>
      </c>
      <c r="G94" s="51" t="s">
        <v>247</v>
      </c>
      <c r="H94" s="51" t="s">
        <v>248</v>
      </c>
      <c r="I94" s="54" t="s">
        <v>249</v>
      </c>
      <c r="J94" s="58"/>
      <c r="K94" s="69" t="s">
        <v>250</v>
      </c>
      <c r="L94" s="70"/>
      <c r="M94" s="70"/>
      <c r="N94" s="80"/>
      <c r="O94" s="95"/>
      <c r="P94" s="96"/>
      <c r="Q94" s="77" t="str">
        <f t="shared" ref="Q94:Q101" si="16">IF($O94="N/A","",IF($P94="","",IF($P94&gt;=85%,"C","NC")))</f>
        <v/>
      </c>
      <c r="R94" s="81" t="str">
        <f t="shared" ref="R94:R101" si="17">IF($O94="N/A","",IF($P94="","",$P94*$W94))</f>
        <v/>
      </c>
      <c r="S94" s="5"/>
      <c r="T94" s="10"/>
      <c r="U94" s="10"/>
      <c r="V94" s="10"/>
      <c r="W94" s="82">
        <f t="shared" ref="W94:W97" si="18">IF(O94="N/A",0,D94)</f>
        <v>5</v>
      </c>
    </row>
    <row r="95" spans="3:23" ht="42">
      <c r="C95" s="53" t="s">
        <v>251</v>
      </c>
      <c r="D95" s="51">
        <v>3</v>
      </c>
      <c r="E95" s="51" t="s">
        <v>58</v>
      </c>
      <c r="F95" s="51" t="s">
        <v>52</v>
      </c>
      <c r="G95" s="51" t="s">
        <v>252</v>
      </c>
      <c r="H95" s="51" t="s">
        <v>253</v>
      </c>
      <c r="I95" s="54" t="s">
        <v>254</v>
      </c>
      <c r="J95" s="58"/>
      <c r="K95" s="69" t="s">
        <v>255</v>
      </c>
      <c r="L95" s="70"/>
      <c r="M95" s="70"/>
      <c r="N95" s="80"/>
      <c r="O95" s="95"/>
      <c r="P95" s="96"/>
      <c r="Q95" s="77" t="str">
        <f t="shared" si="16"/>
        <v/>
      </c>
      <c r="R95" s="81" t="str">
        <f t="shared" si="17"/>
        <v/>
      </c>
      <c r="S95" s="5"/>
      <c r="T95" s="10"/>
      <c r="U95" s="10"/>
      <c r="V95" s="10"/>
      <c r="W95" s="82">
        <f t="shared" ref="W95:W96" si="19">IF(O95="N/A",0,D95)</f>
        <v>3</v>
      </c>
    </row>
    <row r="96" spans="3:23" ht="54" customHeight="1">
      <c r="C96" s="53" t="s">
        <v>256</v>
      </c>
      <c r="D96" s="51">
        <v>5</v>
      </c>
      <c r="E96" s="51" t="s">
        <v>51</v>
      </c>
      <c r="F96" s="51" t="s">
        <v>52</v>
      </c>
      <c r="G96" s="51" t="s">
        <v>247</v>
      </c>
      <c r="H96" s="59" t="s">
        <v>257</v>
      </c>
      <c r="I96" s="54" t="s">
        <v>258</v>
      </c>
      <c r="J96" s="58"/>
      <c r="K96" s="69" t="s">
        <v>259</v>
      </c>
      <c r="L96" s="70"/>
      <c r="M96" s="70"/>
      <c r="N96" s="80"/>
      <c r="O96" s="95"/>
      <c r="P96" s="96"/>
      <c r="Q96" s="77" t="str">
        <f t="shared" si="16"/>
        <v/>
      </c>
      <c r="R96" s="81" t="str">
        <f t="shared" si="17"/>
        <v/>
      </c>
      <c r="S96" s="5"/>
      <c r="T96" s="10"/>
      <c r="U96" s="10"/>
      <c r="V96" s="10"/>
      <c r="W96" s="82">
        <f t="shared" si="19"/>
        <v>5</v>
      </c>
    </row>
    <row r="97" spans="3:23" ht="105" customHeight="1">
      <c r="C97" s="53" t="s">
        <v>260</v>
      </c>
      <c r="D97" s="51">
        <v>3</v>
      </c>
      <c r="E97" s="51" t="s">
        <v>143</v>
      </c>
      <c r="F97" s="51" t="s">
        <v>52</v>
      </c>
      <c r="G97" s="51" t="s">
        <v>252</v>
      </c>
      <c r="H97" s="51" t="s">
        <v>261</v>
      </c>
      <c r="I97" s="54" t="s">
        <v>262</v>
      </c>
      <c r="J97" s="58"/>
      <c r="K97" s="69" t="s">
        <v>263</v>
      </c>
      <c r="L97" s="70"/>
      <c r="M97" s="70"/>
      <c r="N97" s="80"/>
      <c r="O97" s="95"/>
      <c r="P97" s="96"/>
      <c r="Q97" s="77" t="str">
        <f t="shared" si="16"/>
        <v/>
      </c>
      <c r="R97" s="81" t="str">
        <f t="shared" si="17"/>
        <v/>
      </c>
      <c r="S97" s="5"/>
      <c r="T97" s="10"/>
      <c r="U97" s="10"/>
      <c r="V97" s="10"/>
      <c r="W97" s="82">
        <f t="shared" si="18"/>
        <v>3</v>
      </c>
    </row>
    <row r="98" spans="3:23" ht="73.5" customHeight="1">
      <c r="C98" s="53" t="s">
        <v>264</v>
      </c>
      <c r="D98" s="51">
        <v>5</v>
      </c>
      <c r="E98" s="51" t="s">
        <v>143</v>
      </c>
      <c r="F98" s="51" t="s">
        <v>52</v>
      </c>
      <c r="G98" s="51" t="s">
        <v>247</v>
      </c>
      <c r="H98" s="59" t="s">
        <v>265</v>
      </c>
      <c r="I98" s="54" t="s">
        <v>266</v>
      </c>
      <c r="J98" s="58"/>
      <c r="K98" s="69" t="s">
        <v>267</v>
      </c>
      <c r="L98" s="70"/>
      <c r="M98" s="70"/>
      <c r="N98" s="80"/>
      <c r="O98" s="95"/>
      <c r="P98" s="96"/>
      <c r="Q98" s="77" t="str">
        <f t="shared" si="16"/>
        <v/>
      </c>
      <c r="R98" s="81" t="str">
        <f t="shared" si="17"/>
        <v/>
      </c>
      <c r="S98" s="5"/>
      <c r="T98" s="10"/>
      <c r="U98" s="10"/>
      <c r="V98" s="10"/>
      <c r="W98" s="82">
        <f t="shared" ref="W98:W101" si="20">IF(O98="N/A",0,D98)</f>
        <v>5</v>
      </c>
    </row>
    <row r="99" spans="3:23" ht="94.5" customHeight="1">
      <c r="C99" s="53" t="s">
        <v>268</v>
      </c>
      <c r="D99" s="51">
        <v>3</v>
      </c>
      <c r="E99" s="51" t="s">
        <v>51</v>
      </c>
      <c r="F99" s="51" t="s">
        <v>52</v>
      </c>
      <c r="G99" s="51" t="s">
        <v>252</v>
      </c>
      <c r="H99" s="51" t="s">
        <v>269</v>
      </c>
      <c r="I99" s="54" t="s">
        <v>270</v>
      </c>
      <c r="J99" s="58"/>
      <c r="K99" s="69" t="s">
        <v>271</v>
      </c>
      <c r="L99" s="70"/>
      <c r="M99" s="70"/>
      <c r="N99" s="80"/>
      <c r="O99" s="95"/>
      <c r="P99" s="96"/>
      <c r="Q99" s="77" t="str">
        <f t="shared" si="16"/>
        <v/>
      </c>
      <c r="R99" s="81" t="str">
        <f t="shared" si="17"/>
        <v/>
      </c>
      <c r="S99" s="5"/>
      <c r="T99" s="10"/>
      <c r="U99" s="10"/>
      <c r="V99" s="10"/>
      <c r="W99" s="82">
        <f t="shared" si="20"/>
        <v>3</v>
      </c>
    </row>
    <row r="100" spans="3:23" ht="31.5">
      <c r="C100" s="53" t="s">
        <v>272</v>
      </c>
      <c r="D100" s="51">
        <v>3</v>
      </c>
      <c r="E100" s="51" t="s">
        <v>143</v>
      </c>
      <c r="F100" s="51" t="s">
        <v>52</v>
      </c>
      <c r="G100" s="51" t="s">
        <v>252</v>
      </c>
      <c r="H100" s="51" t="s">
        <v>273</v>
      </c>
      <c r="I100" s="54" t="s">
        <v>274</v>
      </c>
      <c r="J100" s="58"/>
      <c r="K100" s="69" t="s">
        <v>275</v>
      </c>
      <c r="L100" s="70"/>
      <c r="M100" s="70"/>
      <c r="N100" s="80"/>
      <c r="O100" s="95"/>
      <c r="P100" s="96"/>
      <c r="Q100" s="77" t="str">
        <f t="shared" si="16"/>
        <v/>
      </c>
      <c r="R100" s="81" t="str">
        <f t="shared" si="17"/>
        <v/>
      </c>
      <c r="S100" s="5"/>
      <c r="T100" s="10"/>
      <c r="U100" s="10"/>
      <c r="V100" s="10"/>
      <c r="W100" s="82">
        <f t="shared" ref="W100" si="21">IF(O100="N/A",0,D100)</f>
        <v>3</v>
      </c>
    </row>
    <row r="101" spans="3:23" ht="31.5">
      <c r="C101" s="53" t="s">
        <v>276</v>
      </c>
      <c r="D101" s="51">
        <v>3</v>
      </c>
      <c r="E101" s="51" t="s">
        <v>143</v>
      </c>
      <c r="F101" s="51" t="s">
        <v>52</v>
      </c>
      <c r="G101" s="51" t="s">
        <v>252</v>
      </c>
      <c r="H101" s="51" t="s">
        <v>277</v>
      </c>
      <c r="I101" s="54" t="s">
        <v>278</v>
      </c>
      <c r="J101" s="58"/>
      <c r="K101" s="69" t="s">
        <v>279</v>
      </c>
      <c r="L101" s="70"/>
      <c r="M101" s="70"/>
      <c r="N101" s="80"/>
      <c r="O101" s="95"/>
      <c r="P101" s="96"/>
      <c r="Q101" s="77" t="str">
        <f t="shared" si="16"/>
        <v/>
      </c>
      <c r="R101" s="81" t="str">
        <f t="shared" si="17"/>
        <v/>
      </c>
      <c r="S101" s="5"/>
      <c r="T101" s="10"/>
      <c r="U101" s="10"/>
      <c r="V101" s="10"/>
      <c r="W101" s="82">
        <f t="shared" si="20"/>
        <v>3</v>
      </c>
    </row>
    <row r="102" spans="3:23" ht="15.6">
      <c r="C102" s="104"/>
      <c r="D102" s="105"/>
      <c r="E102" s="104"/>
      <c r="F102" s="104"/>
      <c r="G102" s="104"/>
      <c r="H102" s="104"/>
      <c r="I102" s="104"/>
      <c r="J102" s="104"/>
      <c r="K102" s="104"/>
      <c r="L102" s="104"/>
      <c r="M102" s="104"/>
      <c r="N102" s="67"/>
      <c r="O102" s="5"/>
      <c r="P102" s="5"/>
      <c r="Q102" s="5"/>
      <c r="R102" s="84" t="str">
        <f>IF(SUM(R94:R101)=0,"-",IFERROR(SUM(R94:R101),""))</f>
        <v>-</v>
      </c>
      <c r="S102" s="5"/>
      <c r="T102" s="10"/>
      <c r="U102" s="10"/>
      <c r="V102" s="10"/>
      <c r="W102" s="10"/>
    </row>
    <row r="103" spans="3:23" ht="15.6">
      <c r="C103" s="104"/>
      <c r="D103" s="105"/>
      <c r="E103" s="104"/>
      <c r="F103" s="104"/>
      <c r="G103" s="104"/>
      <c r="H103" s="104"/>
      <c r="I103" s="104"/>
      <c r="J103" s="104"/>
      <c r="K103" s="104"/>
      <c r="L103" s="104"/>
      <c r="M103" s="104"/>
      <c r="N103" s="67"/>
      <c r="O103" s="93" t="str">
        <f>IF(O94="N/A",IF(O95="N/A",IF(O96="N/A",IF(O97="N/A",IF(O98="N/A",IF(O99="N/A",IF(O100="N/A",IF(O101="N/A","N/A","-"),"-"),"-"),"-"),"-"),"-"),"-"),"-")</f>
        <v>-</v>
      </c>
      <c r="P103" s="94" t="str">
        <f>IF(O103="N/A","N/A",$R103)</f>
        <v>-</v>
      </c>
      <c r="Q103" s="90"/>
      <c r="R103" s="84" t="str">
        <f>IF(R102="-","-",IFERROR(($P94*W94+$P95*W95+$P96*W96+$P97*W97+$P98*W98+$P99*W99+$P100*W100+$P101*W101)/(SUM(W94:W101)),""))</f>
        <v>-</v>
      </c>
      <c r="S103" s="5"/>
      <c r="T103" s="10"/>
      <c r="U103" s="10"/>
      <c r="V103" s="10"/>
      <c r="W103" s="10"/>
    </row>
    <row r="104" spans="3:23" ht="3.75" customHeight="1">
      <c r="C104" s="55"/>
      <c r="D104" s="85"/>
      <c r="E104" s="55"/>
      <c r="F104" s="55"/>
      <c r="G104" s="55"/>
      <c r="H104" s="55"/>
      <c r="I104" s="55"/>
      <c r="J104" s="55"/>
      <c r="K104" s="55"/>
      <c r="L104" s="55"/>
      <c r="M104" s="55"/>
      <c r="N104" s="67"/>
      <c r="O104" s="5"/>
      <c r="P104" s="5"/>
      <c r="Q104" s="5"/>
      <c r="R104" s="5"/>
      <c r="S104" s="5"/>
    </row>
    <row r="105" spans="3:23" ht="14.25" customHeight="1">
      <c r="C105" s="55"/>
      <c r="D105" s="86">
        <v>3</v>
      </c>
      <c r="E105" s="56"/>
      <c r="F105" s="56"/>
      <c r="G105" s="56"/>
      <c r="H105" s="56"/>
      <c r="I105" s="57" t="s">
        <v>280</v>
      </c>
      <c r="J105" s="58"/>
      <c r="K105" s="55"/>
      <c r="L105" s="55"/>
      <c r="M105" s="55"/>
      <c r="N105" s="67"/>
      <c r="S105" s="10"/>
      <c r="T105" s="10"/>
      <c r="U105" s="10"/>
      <c r="V105" s="10"/>
      <c r="W105" s="7" t="s">
        <v>48</v>
      </c>
    </row>
    <row r="106" spans="3:23" ht="68.45" customHeight="1">
      <c r="C106" s="53" t="s">
        <v>281</v>
      </c>
      <c r="D106" s="51">
        <v>1</v>
      </c>
      <c r="E106" s="51" t="s">
        <v>58</v>
      </c>
      <c r="F106" s="51" t="s">
        <v>52</v>
      </c>
      <c r="G106" s="51" t="s">
        <v>282</v>
      </c>
      <c r="H106" s="51" t="s">
        <v>283</v>
      </c>
      <c r="I106" s="54" t="s">
        <v>284</v>
      </c>
      <c r="J106" s="58"/>
      <c r="K106" s="69" t="s">
        <v>285</v>
      </c>
      <c r="L106" s="70"/>
      <c r="M106" s="70"/>
      <c r="N106" s="80"/>
      <c r="O106" s="95"/>
      <c r="P106" s="96"/>
      <c r="Q106" s="77" t="str">
        <f>IF($O106="N/A","",IF($P106="","",IF($P106&gt;=85%,"C","NC")))</f>
        <v/>
      </c>
      <c r="R106" s="81" t="str">
        <f>IF($O106="N/A","",IF($P106="","",$P106*$W106))</f>
        <v/>
      </c>
      <c r="S106" s="5"/>
      <c r="T106" s="10"/>
      <c r="U106" s="10"/>
      <c r="V106" s="10"/>
      <c r="W106" s="82">
        <f>IF(O106="N/A",0,D106)</f>
        <v>1</v>
      </c>
    </row>
    <row r="107" spans="3:23" ht="124.5" customHeight="1">
      <c r="C107" s="53" t="s">
        <v>286</v>
      </c>
      <c r="D107" s="51">
        <v>1</v>
      </c>
      <c r="E107" s="51" t="s">
        <v>58</v>
      </c>
      <c r="F107" s="51" t="s">
        <v>52</v>
      </c>
      <c r="G107" s="51" t="s">
        <v>287</v>
      </c>
      <c r="H107" s="51" t="s">
        <v>288</v>
      </c>
      <c r="I107" s="54" t="s">
        <v>289</v>
      </c>
      <c r="J107" s="58"/>
      <c r="K107" s="69" t="s">
        <v>290</v>
      </c>
      <c r="L107" s="70"/>
      <c r="M107" s="70"/>
      <c r="N107" s="80"/>
      <c r="O107" s="95"/>
      <c r="P107" s="96"/>
      <c r="Q107" s="77" t="str">
        <f>IF($O107="N/A","",IF($P107="","",IF($P107&gt;=85%,"C","NC")))</f>
        <v/>
      </c>
      <c r="R107" s="81" t="str">
        <f>IF($O107="N/A","",IF($P107="","",$P107*$W107))</f>
        <v/>
      </c>
      <c r="S107" s="5"/>
      <c r="T107" s="10"/>
      <c r="U107" s="10"/>
      <c r="V107" s="10"/>
      <c r="W107" s="82">
        <f t="shared" ref="W107" si="22">IF(O107="N/A",0,D107)</f>
        <v>1</v>
      </c>
    </row>
    <row r="108" spans="3:23" ht="15.6">
      <c r="C108" s="104"/>
      <c r="D108" s="105"/>
      <c r="E108" s="104"/>
      <c r="F108" s="104"/>
      <c r="G108" s="104"/>
      <c r="H108" s="104"/>
      <c r="I108" s="104"/>
      <c r="J108" s="104"/>
      <c r="K108" s="104"/>
      <c r="L108" s="104"/>
      <c r="M108" s="104"/>
      <c r="N108" s="67"/>
      <c r="O108" s="5"/>
      <c r="P108" s="5"/>
      <c r="Q108" s="5"/>
      <c r="R108" s="84" t="str">
        <f>IF(SUM(R106:R107)=0,"-",IFERROR(SUM(R106:R107),""))</f>
        <v>-</v>
      </c>
      <c r="S108" s="5"/>
      <c r="T108" s="10"/>
      <c r="U108" s="10"/>
      <c r="V108" s="10"/>
      <c r="W108" s="10"/>
    </row>
    <row r="109" spans="3:23" ht="15.6">
      <c r="C109" s="104"/>
      <c r="D109" s="105"/>
      <c r="E109" s="104"/>
      <c r="F109" s="104"/>
      <c r="G109" s="104"/>
      <c r="H109" s="104"/>
      <c r="I109" s="104"/>
      <c r="J109" s="104"/>
      <c r="K109" s="104"/>
      <c r="L109" s="104"/>
      <c r="M109" s="104"/>
      <c r="N109" s="67"/>
      <c r="O109" s="93" t="str">
        <f>IF(O106="N/A",IF(O107="N/A","N/A","-"),"-")</f>
        <v>-</v>
      </c>
      <c r="P109" s="94" t="str">
        <f>IF(O109="N/A","N/A",$R109)</f>
        <v>-</v>
      </c>
      <c r="Q109" s="90"/>
      <c r="R109" s="84" t="str">
        <f>IF(R108="-","-",IFERROR(($P106*W106+$P107*W107)/(SUM(W106:W107)),""))</f>
        <v>-</v>
      </c>
      <c r="S109" s="5"/>
      <c r="T109" s="10"/>
      <c r="U109" s="10"/>
      <c r="V109" s="10"/>
      <c r="W109" s="10"/>
    </row>
    <row r="110" spans="3:23" ht="3.75" customHeight="1">
      <c r="C110" s="55"/>
      <c r="D110" s="85"/>
      <c r="E110" s="55"/>
      <c r="F110" s="55"/>
      <c r="G110" s="55"/>
      <c r="H110" s="55"/>
      <c r="I110" s="55"/>
      <c r="J110" s="55"/>
      <c r="K110" s="55"/>
      <c r="L110" s="55"/>
      <c r="M110" s="55"/>
      <c r="N110" s="67"/>
      <c r="O110" s="5"/>
      <c r="P110" s="5"/>
      <c r="Q110" s="5"/>
      <c r="R110" s="5"/>
      <c r="S110" s="5"/>
    </row>
    <row r="111" spans="3:23" ht="14.25" customHeight="1">
      <c r="C111" s="55"/>
      <c r="D111" s="86">
        <v>1</v>
      </c>
      <c r="E111" s="56"/>
      <c r="F111" s="56"/>
      <c r="G111" s="56"/>
      <c r="H111" s="56"/>
      <c r="I111" s="57" t="s">
        <v>291</v>
      </c>
      <c r="J111" s="58"/>
      <c r="K111" s="55"/>
      <c r="L111" s="55"/>
      <c r="M111" s="55"/>
      <c r="N111" s="67"/>
      <c r="O111" s="5"/>
      <c r="P111" s="5"/>
      <c r="Q111" s="5"/>
      <c r="R111" s="11"/>
      <c r="S111" s="5"/>
      <c r="W111" s="7" t="s">
        <v>48</v>
      </c>
    </row>
    <row r="112" spans="3:23" ht="21">
      <c r="C112" s="53" t="s">
        <v>292</v>
      </c>
      <c r="D112" s="51">
        <v>4.5</v>
      </c>
      <c r="E112" s="51" t="s">
        <v>51</v>
      </c>
      <c r="F112" s="51" t="s">
        <v>293</v>
      </c>
      <c r="G112" s="51" t="s">
        <v>294</v>
      </c>
      <c r="H112" s="59" t="s">
        <v>295</v>
      </c>
      <c r="I112" s="54" t="s">
        <v>296</v>
      </c>
      <c r="J112" s="58"/>
      <c r="K112" s="69" t="s">
        <v>297</v>
      </c>
      <c r="L112" s="70"/>
      <c r="M112" s="70"/>
      <c r="N112" s="80"/>
      <c r="O112" s="95"/>
      <c r="P112" s="96"/>
      <c r="Q112" s="77" t="str">
        <f t="shared" ref="Q112:Q117" si="23">IF($O112="N/A","",IF($P112="","",IF($P112&gt;=85%,"C","NC")))</f>
        <v/>
      </c>
      <c r="R112" s="81" t="str">
        <f t="shared" ref="R112:R117" si="24">IF($O112="N/A","",IF($P112="","",$P112*$W112))</f>
        <v/>
      </c>
      <c r="S112" s="5"/>
      <c r="T112" s="10"/>
      <c r="U112" s="10"/>
      <c r="V112" s="10"/>
      <c r="W112" s="82">
        <f t="shared" ref="W112:W117" si="25">IF(O112="N/A",0,D112)</f>
        <v>4.5</v>
      </c>
    </row>
    <row r="113" spans="3:23" ht="21">
      <c r="C113" s="53" t="s">
        <v>298</v>
      </c>
      <c r="D113" s="51">
        <v>4.5</v>
      </c>
      <c r="E113" s="51" t="s">
        <v>143</v>
      </c>
      <c r="F113" s="51" t="s">
        <v>104</v>
      </c>
      <c r="G113" s="51" t="s">
        <v>294</v>
      </c>
      <c r="H113" s="59" t="s">
        <v>299</v>
      </c>
      <c r="I113" s="54" t="s">
        <v>300</v>
      </c>
      <c r="J113" s="58"/>
      <c r="K113" s="69" t="s">
        <v>301</v>
      </c>
      <c r="L113" s="70"/>
      <c r="M113" s="70"/>
      <c r="N113" s="80"/>
      <c r="O113" s="95"/>
      <c r="P113" s="96"/>
      <c r="Q113" s="77" t="str">
        <f t="shared" si="23"/>
        <v/>
      </c>
      <c r="R113" s="81" t="str">
        <f t="shared" si="24"/>
        <v/>
      </c>
      <c r="S113" s="5"/>
      <c r="T113" s="10"/>
      <c r="U113" s="10"/>
      <c r="V113" s="10"/>
      <c r="W113" s="82">
        <f t="shared" ref="W113" si="26">IF(O113="N/A",0,D113)</f>
        <v>4.5</v>
      </c>
    </row>
    <row r="114" spans="3:23" ht="66" customHeight="1">
      <c r="C114" s="53" t="s">
        <v>302</v>
      </c>
      <c r="D114" s="51">
        <v>2.5</v>
      </c>
      <c r="E114" s="51" t="s">
        <v>51</v>
      </c>
      <c r="F114" s="51" t="s">
        <v>293</v>
      </c>
      <c r="G114" s="51" t="s">
        <v>287</v>
      </c>
      <c r="H114" s="59" t="s">
        <v>303</v>
      </c>
      <c r="I114" s="54" t="s">
        <v>304</v>
      </c>
      <c r="J114" s="58"/>
      <c r="K114" s="69"/>
      <c r="L114" s="70"/>
      <c r="M114" s="70"/>
      <c r="N114" s="80"/>
      <c r="O114" s="95"/>
      <c r="P114" s="96"/>
      <c r="Q114" s="77" t="str">
        <f t="shared" si="23"/>
        <v/>
      </c>
      <c r="R114" s="81" t="str">
        <f t="shared" si="24"/>
        <v/>
      </c>
      <c r="S114" s="5"/>
      <c r="T114" s="10"/>
      <c r="U114" s="10"/>
      <c r="V114" s="10"/>
      <c r="W114" s="82">
        <f t="shared" si="25"/>
        <v>2.5</v>
      </c>
    </row>
    <row r="115" spans="3:23" ht="21">
      <c r="C115" s="53" t="s">
        <v>305</v>
      </c>
      <c r="D115" s="51">
        <v>2.5</v>
      </c>
      <c r="E115" s="51" t="s">
        <v>58</v>
      </c>
      <c r="F115" s="51" t="s">
        <v>293</v>
      </c>
      <c r="G115" s="51" t="s">
        <v>287</v>
      </c>
      <c r="H115" s="59" t="s">
        <v>306</v>
      </c>
      <c r="I115" s="54" t="s">
        <v>307</v>
      </c>
      <c r="J115" s="58"/>
      <c r="K115" s="69"/>
      <c r="L115" s="70"/>
      <c r="M115" s="70"/>
      <c r="N115" s="80"/>
      <c r="O115" s="95"/>
      <c r="P115" s="96"/>
      <c r="Q115" s="77" t="str">
        <f t="shared" si="23"/>
        <v/>
      </c>
      <c r="R115" s="81" t="str">
        <f t="shared" si="24"/>
        <v/>
      </c>
      <c r="S115" s="5"/>
      <c r="T115" s="10"/>
      <c r="U115" s="10"/>
      <c r="V115" s="10"/>
      <c r="W115" s="82">
        <f t="shared" si="25"/>
        <v>2.5</v>
      </c>
    </row>
    <row r="116" spans="3:23" ht="21">
      <c r="C116" s="53" t="s">
        <v>308</v>
      </c>
      <c r="D116" s="51">
        <v>2.5</v>
      </c>
      <c r="E116" s="51" t="s">
        <v>58</v>
      </c>
      <c r="F116" s="51" t="s">
        <v>293</v>
      </c>
      <c r="G116" s="51" t="s">
        <v>287</v>
      </c>
      <c r="H116" s="59" t="s">
        <v>309</v>
      </c>
      <c r="I116" s="54" t="s">
        <v>310</v>
      </c>
      <c r="J116" s="58"/>
      <c r="K116" s="69"/>
      <c r="L116" s="70"/>
      <c r="M116" s="70"/>
      <c r="N116" s="80"/>
      <c r="O116" s="95"/>
      <c r="P116" s="96"/>
      <c r="Q116" s="77" t="str">
        <f t="shared" si="23"/>
        <v/>
      </c>
      <c r="R116" s="81" t="str">
        <f t="shared" si="24"/>
        <v/>
      </c>
      <c r="S116" s="5"/>
      <c r="T116" s="10"/>
      <c r="U116" s="10"/>
      <c r="V116" s="10"/>
      <c r="W116" s="82">
        <f t="shared" si="25"/>
        <v>2.5</v>
      </c>
    </row>
    <row r="117" spans="3:23" ht="21">
      <c r="C117" s="53" t="s">
        <v>311</v>
      </c>
      <c r="D117" s="51">
        <v>2.5</v>
      </c>
      <c r="E117" s="51" t="s">
        <v>58</v>
      </c>
      <c r="F117" s="51" t="s">
        <v>293</v>
      </c>
      <c r="G117" s="51" t="s">
        <v>312</v>
      </c>
      <c r="H117" s="59" t="s">
        <v>313</v>
      </c>
      <c r="I117" s="54" t="s">
        <v>314</v>
      </c>
      <c r="J117" s="58"/>
      <c r="K117" s="69" t="s">
        <v>315</v>
      </c>
      <c r="L117" s="70"/>
      <c r="M117" s="70"/>
      <c r="N117" s="80"/>
      <c r="O117" s="95"/>
      <c r="P117" s="96"/>
      <c r="Q117" s="77" t="str">
        <f t="shared" si="23"/>
        <v/>
      </c>
      <c r="R117" s="81" t="str">
        <f t="shared" si="24"/>
        <v/>
      </c>
      <c r="S117" s="5"/>
      <c r="T117" s="10"/>
      <c r="U117" s="10"/>
      <c r="V117" s="10"/>
      <c r="W117" s="82">
        <f t="shared" si="25"/>
        <v>2.5</v>
      </c>
    </row>
    <row r="118" spans="3:23" ht="15.6">
      <c r="C118" s="104"/>
      <c r="D118" s="105"/>
      <c r="E118" s="104"/>
      <c r="F118" s="104"/>
      <c r="G118" s="104"/>
      <c r="H118" s="104"/>
      <c r="I118" s="104"/>
      <c r="J118" s="104"/>
      <c r="K118" s="104"/>
      <c r="L118" s="104"/>
      <c r="M118" s="104"/>
      <c r="N118" s="67"/>
      <c r="O118" s="5"/>
      <c r="P118" s="5"/>
      <c r="Q118" s="5"/>
      <c r="R118" s="84" t="str">
        <f>IF(SUM(R112:R117)=0,"-",IFERROR(SUM(R112:R117),""))</f>
        <v>-</v>
      </c>
      <c r="S118" s="5"/>
      <c r="T118" s="10"/>
      <c r="U118" s="10"/>
      <c r="V118" s="10"/>
      <c r="W118" s="10"/>
    </row>
    <row r="119" spans="3:23" ht="15.6">
      <c r="C119" s="104"/>
      <c r="D119" s="105"/>
      <c r="E119" s="104"/>
      <c r="F119" s="104"/>
      <c r="G119" s="104"/>
      <c r="H119" s="104"/>
      <c r="I119" s="104"/>
      <c r="J119" s="104"/>
      <c r="K119" s="104"/>
      <c r="L119" s="104"/>
      <c r="M119" s="104"/>
      <c r="N119" s="67"/>
      <c r="O119" s="93" t="str">
        <f>IF(O112="N/A",IF(O113="N/A",IF(O114="N/A",IF(O115="N/A",IF(O116="N/A",IF(O117="N/A","N/A","-"),"-"),"-"),"-"),"-"),"-")</f>
        <v>-</v>
      </c>
      <c r="P119" s="94" t="str">
        <f>IF(O119="N/A","N/A",$R119)</f>
        <v>-</v>
      </c>
      <c r="Q119" s="90"/>
      <c r="R119" s="84" t="str">
        <f>IF(R118="-","-",IFERROR(($P112*W112+$P113*W113+$P114*W114+$P115*W115+$P116*W116+$P117*W117)/(SUM(W112:W117)),""))</f>
        <v>-</v>
      </c>
      <c r="S119" s="5"/>
      <c r="T119" s="10"/>
      <c r="U119" s="10"/>
      <c r="V119" s="10"/>
      <c r="W119" s="10"/>
    </row>
    <row r="120" spans="3:23" ht="3.75" customHeight="1">
      <c r="C120" s="55"/>
      <c r="D120" s="85"/>
      <c r="E120" s="55"/>
      <c r="F120" s="55"/>
      <c r="G120" s="55"/>
      <c r="H120" s="55"/>
      <c r="I120" s="55"/>
      <c r="J120" s="55"/>
      <c r="K120" s="55"/>
      <c r="L120" s="55"/>
      <c r="M120" s="55"/>
      <c r="N120" s="67"/>
      <c r="O120" s="5"/>
      <c r="P120" s="5"/>
      <c r="Q120" s="5"/>
      <c r="R120" s="5"/>
      <c r="S120" s="5"/>
    </row>
    <row r="121" spans="3:23" ht="13.5" customHeight="1">
      <c r="C121" s="60" t="s">
        <v>32</v>
      </c>
      <c r="D121" s="60" t="s">
        <v>33</v>
      </c>
      <c r="E121" s="60" t="s">
        <v>34</v>
      </c>
      <c r="F121" s="60" t="s">
        <v>179</v>
      </c>
      <c r="G121" s="60" t="s">
        <v>36</v>
      </c>
      <c r="H121" s="60" t="s">
        <v>37</v>
      </c>
      <c r="I121" s="60" t="s">
        <v>38</v>
      </c>
      <c r="J121" s="56"/>
      <c r="K121" s="109" t="s">
        <v>39</v>
      </c>
      <c r="L121" s="110"/>
      <c r="M121" s="111"/>
      <c r="N121" s="67"/>
      <c r="O121" s="112" t="s">
        <v>40</v>
      </c>
      <c r="P121" s="113"/>
      <c r="Q121" s="114"/>
      <c r="R121" s="55"/>
      <c r="S121" s="5"/>
    </row>
    <row r="122" spans="3:23" ht="3" customHeight="1">
      <c r="C122" s="56"/>
      <c r="D122" s="87"/>
      <c r="E122" s="56"/>
      <c r="F122" s="56"/>
      <c r="G122" s="56"/>
      <c r="H122" s="56"/>
      <c r="I122" s="56"/>
      <c r="J122" s="56"/>
      <c r="K122" s="58"/>
      <c r="L122" s="58"/>
      <c r="M122" s="58"/>
      <c r="N122" s="80"/>
      <c r="R122" s="58"/>
    </row>
    <row r="123" spans="3:23" ht="14.25" customHeight="1">
      <c r="C123" s="55"/>
      <c r="D123" s="51">
        <v>5</v>
      </c>
      <c r="E123" s="55"/>
      <c r="F123" s="55"/>
      <c r="G123" s="55"/>
      <c r="H123" s="55"/>
      <c r="I123" s="61" t="s">
        <v>316</v>
      </c>
      <c r="J123" s="55"/>
      <c r="K123" s="60" t="s">
        <v>42</v>
      </c>
      <c r="L123" s="60" t="s">
        <v>43</v>
      </c>
      <c r="M123" s="60" t="s">
        <v>44</v>
      </c>
      <c r="N123" s="67"/>
      <c r="O123" s="7" t="s">
        <v>45</v>
      </c>
      <c r="P123" s="7" t="s">
        <v>46</v>
      </c>
      <c r="Q123" s="7" t="s">
        <v>47</v>
      </c>
      <c r="R123" s="60" t="s">
        <v>48</v>
      </c>
      <c r="S123" s="5"/>
    </row>
    <row r="124" spans="3:23" ht="3.75" customHeight="1">
      <c r="C124" s="55"/>
      <c r="D124" s="85"/>
      <c r="E124" s="55"/>
      <c r="F124" s="55"/>
      <c r="G124" s="55"/>
      <c r="H124" s="55"/>
      <c r="I124" s="55"/>
      <c r="J124" s="55"/>
      <c r="K124" s="55"/>
      <c r="L124" s="55"/>
      <c r="M124" s="55"/>
      <c r="N124" s="67"/>
      <c r="O124" s="5"/>
      <c r="P124" s="5"/>
      <c r="Q124" s="5"/>
      <c r="R124" s="5"/>
      <c r="S124" s="5"/>
    </row>
    <row r="125" spans="3:23" ht="14.25" customHeight="1">
      <c r="C125" s="55"/>
      <c r="D125" s="86">
        <v>5</v>
      </c>
      <c r="E125" s="56"/>
      <c r="F125" s="56"/>
      <c r="G125" s="56"/>
      <c r="H125" s="56"/>
      <c r="I125" s="57" t="s">
        <v>317</v>
      </c>
      <c r="J125" s="58"/>
      <c r="K125" s="55"/>
      <c r="L125" s="55"/>
      <c r="M125" s="55"/>
      <c r="N125" s="67"/>
      <c r="O125" s="5"/>
      <c r="P125" s="5"/>
      <c r="Q125" s="5"/>
      <c r="R125" s="11"/>
      <c r="S125" s="5"/>
      <c r="W125" s="7" t="s">
        <v>48</v>
      </c>
    </row>
    <row r="126" spans="3:23" ht="58.7" customHeight="1">
      <c r="C126" s="53" t="s">
        <v>318</v>
      </c>
      <c r="D126" s="51">
        <v>1</v>
      </c>
      <c r="E126" s="51" t="s">
        <v>143</v>
      </c>
      <c r="F126" s="63" t="s">
        <v>52</v>
      </c>
      <c r="G126" s="51" t="s">
        <v>63</v>
      </c>
      <c r="H126" s="51" t="s">
        <v>319</v>
      </c>
      <c r="I126" s="54" t="s">
        <v>320</v>
      </c>
      <c r="J126" s="58"/>
      <c r="K126" s="69" t="s">
        <v>321</v>
      </c>
      <c r="L126" s="70"/>
      <c r="M126" s="70"/>
      <c r="N126" s="89"/>
      <c r="O126" s="95"/>
      <c r="P126" s="96"/>
      <c r="Q126" s="98" t="str">
        <f t="shared" ref="Q126:Q131" si="27">IF($O126="N/A","",IF($P126="","",IF($P126&gt;=85%,"C","NC")))</f>
        <v/>
      </c>
      <c r="R126" s="81" t="str">
        <f t="shared" ref="R126:R131" si="28">IF($O126="N/A","",IF($P126="","",$P126*$W126))</f>
        <v/>
      </c>
      <c r="S126" s="5"/>
      <c r="T126" s="10"/>
      <c r="U126" s="10"/>
      <c r="V126" s="10"/>
      <c r="W126" s="82">
        <f t="shared" ref="W126:W131" si="29">IF(O126="N/A",0,D126)</f>
        <v>1</v>
      </c>
    </row>
    <row r="127" spans="3:23" ht="58.7" customHeight="1">
      <c r="C127" s="53" t="s">
        <v>322</v>
      </c>
      <c r="D127" s="51">
        <v>1</v>
      </c>
      <c r="E127" s="51" t="s">
        <v>143</v>
      </c>
      <c r="F127" s="63" t="s">
        <v>52</v>
      </c>
      <c r="G127" s="51" t="s">
        <v>63</v>
      </c>
      <c r="H127" s="51" t="s">
        <v>319</v>
      </c>
      <c r="I127" s="54" t="s">
        <v>323</v>
      </c>
      <c r="J127" s="58"/>
      <c r="K127" s="69" t="s">
        <v>324</v>
      </c>
      <c r="L127" s="70"/>
      <c r="M127" s="70"/>
      <c r="N127" s="89"/>
      <c r="O127" s="95"/>
      <c r="P127" s="96"/>
      <c r="Q127" s="98" t="str">
        <f t="shared" si="27"/>
        <v/>
      </c>
      <c r="R127" s="81" t="str">
        <f t="shared" si="28"/>
        <v/>
      </c>
      <c r="S127" s="5"/>
      <c r="T127" s="10"/>
      <c r="U127" s="10"/>
      <c r="V127" s="10"/>
      <c r="W127" s="82">
        <f t="shared" si="29"/>
        <v>1</v>
      </c>
    </row>
    <row r="128" spans="3:23" ht="31.5">
      <c r="C128" s="53" t="s">
        <v>325</v>
      </c>
      <c r="D128" s="51">
        <v>1</v>
      </c>
      <c r="E128" s="51" t="s">
        <v>232</v>
      </c>
      <c r="F128" s="63" t="s">
        <v>52</v>
      </c>
      <c r="G128" s="51" t="s">
        <v>63</v>
      </c>
      <c r="H128" s="51" t="s">
        <v>319</v>
      </c>
      <c r="I128" s="54" t="s">
        <v>326</v>
      </c>
      <c r="J128" s="58"/>
      <c r="K128" s="69" t="s">
        <v>327</v>
      </c>
      <c r="L128" s="70"/>
      <c r="M128" s="70"/>
      <c r="N128" s="89"/>
      <c r="O128" s="95"/>
      <c r="P128" s="96"/>
      <c r="Q128" s="98" t="str">
        <f t="shared" si="27"/>
        <v/>
      </c>
      <c r="R128" s="81" t="str">
        <f t="shared" si="28"/>
        <v/>
      </c>
      <c r="S128" s="5"/>
      <c r="T128" s="10"/>
      <c r="U128" s="10"/>
      <c r="V128" s="10"/>
      <c r="W128" s="82">
        <f t="shared" si="29"/>
        <v>1</v>
      </c>
    </row>
    <row r="129" spans="3:23" ht="73.5">
      <c r="C129" s="53" t="s">
        <v>328</v>
      </c>
      <c r="D129" s="51">
        <v>1</v>
      </c>
      <c r="E129" s="51" t="s">
        <v>143</v>
      </c>
      <c r="F129" s="63" t="s">
        <v>52</v>
      </c>
      <c r="G129" s="51" t="s">
        <v>63</v>
      </c>
      <c r="H129" s="51" t="s">
        <v>319</v>
      </c>
      <c r="I129" s="54" t="s">
        <v>329</v>
      </c>
      <c r="J129" s="58"/>
      <c r="K129" s="69" t="s">
        <v>330</v>
      </c>
      <c r="L129" s="70"/>
      <c r="M129" s="70"/>
      <c r="N129" s="89"/>
      <c r="O129" s="95"/>
      <c r="P129" s="96"/>
      <c r="Q129" s="98" t="str">
        <f t="shared" si="27"/>
        <v/>
      </c>
      <c r="R129" s="81" t="str">
        <f t="shared" si="28"/>
        <v/>
      </c>
      <c r="S129" s="5"/>
      <c r="T129" s="10"/>
      <c r="U129" s="10"/>
      <c r="V129" s="10"/>
      <c r="W129" s="82">
        <f t="shared" si="29"/>
        <v>1</v>
      </c>
    </row>
    <row r="130" spans="3:23" ht="31.5">
      <c r="C130" s="53" t="s">
        <v>331</v>
      </c>
      <c r="D130" s="51">
        <v>1</v>
      </c>
      <c r="E130" s="51" t="s">
        <v>232</v>
      </c>
      <c r="F130" s="63" t="s">
        <v>52</v>
      </c>
      <c r="G130" s="51" t="s">
        <v>63</v>
      </c>
      <c r="H130" s="51" t="s">
        <v>319</v>
      </c>
      <c r="I130" s="54" t="s">
        <v>332</v>
      </c>
      <c r="J130" s="58"/>
      <c r="K130" s="69" t="s">
        <v>333</v>
      </c>
      <c r="L130" s="70"/>
      <c r="M130" s="70"/>
      <c r="N130" s="89"/>
      <c r="O130" s="95"/>
      <c r="P130" s="96"/>
      <c r="Q130" s="98" t="str">
        <f t="shared" si="27"/>
        <v/>
      </c>
      <c r="R130" s="81" t="str">
        <f t="shared" si="28"/>
        <v/>
      </c>
      <c r="S130" s="5"/>
      <c r="T130" s="10"/>
      <c r="U130" s="10"/>
      <c r="V130" s="10"/>
      <c r="W130" s="82">
        <f t="shared" si="29"/>
        <v>1</v>
      </c>
    </row>
    <row r="131" spans="3:23" ht="31.5">
      <c r="C131" s="53" t="s">
        <v>334</v>
      </c>
      <c r="D131" s="51">
        <v>1</v>
      </c>
      <c r="E131" s="51" t="s">
        <v>232</v>
      </c>
      <c r="F131" s="63" t="s">
        <v>52</v>
      </c>
      <c r="G131" s="51" t="s">
        <v>63</v>
      </c>
      <c r="H131" s="51" t="s">
        <v>319</v>
      </c>
      <c r="I131" s="54" t="s">
        <v>335</v>
      </c>
      <c r="J131" s="58"/>
      <c r="K131" s="69" t="s">
        <v>336</v>
      </c>
      <c r="L131" s="70"/>
      <c r="M131" s="70"/>
      <c r="N131" s="89"/>
      <c r="O131" s="95"/>
      <c r="P131" s="96"/>
      <c r="Q131" s="98" t="str">
        <f t="shared" si="27"/>
        <v/>
      </c>
      <c r="R131" s="81" t="str">
        <f t="shared" si="28"/>
        <v/>
      </c>
      <c r="S131" s="5"/>
      <c r="T131" s="10"/>
      <c r="U131" s="10"/>
      <c r="V131" s="10"/>
      <c r="W131" s="82">
        <f t="shared" si="29"/>
        <v>1</v>
      </c>
    </row>
    <row r="132" spans="3:23" ht="15.6">
      <c r="C132" s="104"/>
      <c r="D132" s="105"/>
      <c r="E132" s="104"/>
      <c r="F132" s="104"/>
      <c r="G132" s="104"/>
      <c r="H132" s="104"/>
      <c r="I132" s="104"/>
      <c r="J132" s="104"/>
      <c r="K132" s="104"/>
      <c r="L132" s="104"/>
      <c r="M132" s="104"/>
      <c r="N132" s="67"/>
      <c r="O132" s="5"/>
      <c r="P132" s="5"/>
      <c r="Q132" s="5"/>
      <c r="R132" s="84" t="str">
        <f>IF(SUM(R126:R131)=0,"-",IFERROR(SUM(R126:R131),""))</f>
        <v>-</v>
      </c>
      <c r="S132" s="5"/>
      <c r="T132" s="10"/>
      <c r="U132" s="10"/>
      <c r="V132" s="10"/>
      <c r="W132" s="10"/>
    </row>
    <row r="133" spans="3:23" ht="15.6">
      <c r="C133" s="104"/>
      <c r="D133" s="105"/>
      <c r="E133" s="104"/>
      <c r="F133" s="104"/>
      <c r="G133" s="104"/>
      <c r="H133" s="104"/>
      <c r="I133" s="104"/>
      <c r="J133" s="104"/>
      <c r="K133" s="104"/>
      <c r="L133" s="104"/>
      <c r="M133" s="104"/>
      <c r="N133" s="67"/>
      <c r="O133" s="93" t="str">
        <f>IF(O126="N/A",IF(O127="N/A",IF(O128="N/A",IF(O129="N/A",IF(O130="N/A",IF(O131="N/A","N/A","-"),"-"),"-"),"-"),"-"),"-")</f>
        <v>-</v>
      </c>
      <c r="P133" s="94" t="str">
        <f>IF(O133="N/A","N/A",$R133)</f>
        <v>-</v>
      </c>
      <c r="Q133" s="90"/>
      <c r="R133" s="84" t="str">
        <f>IF(R132="-","-",IFERROR(($P126*W126+$P127*W127+$P128*W128+$P129*W129+$P130*W130+$P131*W131)/(SUM(W126:W131)),""))</f>
        <v>-</v>
      </c>
      <c r="S133" s="5"/>
      <c r="T133" s="10"/>
      <c r="U133" s="10"/>
      <c r="V133" s="10"/>
      <c r="W133" s="10"/>
    </row>
    <row r="134" spans="3:23" ht="3.75" customHeight="1">
      <c r="C134" s="55"/>
      <c r="D134" s="85"/>
      <c r="E134" s="55"/>
      <c r="F134" s="55"/>
      <c r="G134" s="55"/>
      <c r="H134" s="55"/>
      <c r="I134" s="55"/>
      <c r="J134" s="55"/>
      <c r="K134" s="55"/>
      <c r="L134" s="55"/>
      <c r="M134" s="55"/>
      <c r="N134" s="67"/>
      <c r="O134" s="5"/>
      <c r="P134" s="5"/>
      <c r="Q134" s="5"/>
      <c r="R134" s="5"/>
      <c r="S134" s="5"/>
    </row>
    <row r="135" spans="3:23" ht="14.25" customHeight="1">
      <c r="C135" s="56"/>
      <c r="D135" s="86">
        <v>3</v>
      </c>
      <c r="E135" s="56"/>
      <c r="F135" s="56"/>
      <c r="G135" s="56"/>
      <c r="H135" s="56"/>
      <c r="I135" s="57" t="s">
        <v>337</v>
      </c>
      <c r="J135" s="58"/>
      <c r="K135" s="55"/>
      <c r="L135" s="55"/>
      <c r="M135" s="55"/>
      <c r="N135" s="67"/>
      <c r="S135" s="5"/>
      <c r="T135" s="10"/>
      <c r="U135" s="10"/>
      <c r="V135" s="10"/>
      <c r="W135" s="7" t="s">
        <v>48</v>
      </c>
    </row>
    <row r="136" spans="3:23" ht="31.5">
      <c r="C136" s="53" t="s">
        <v>338</v>
      </c>
      <c r="D136" s="51">
        <v>1</v>
      </c>
      <c r="E136" s="51" t="s">
        <v>232</v>
      </c>
      <c r="F136" s="63" t="s">
        <v>104</v>
      </c>
      <c r="G136" s="51" t="s">
        <v>63</v>
      </c>
      <c r="H136" s="51" t="s">
        <v>319</v>
      </c>
      <c r="I136" s="54" t="s">
        <v>339</v>
      </c>
      <c r="J136" s="58"/>
      <c r="K136" s="69" t="s">
        <v>340</v>
      </c>
      <c r="L136" s="70"/>
      <c r="M136" s="70"/>
      <c r="N136" s="80"/>
      <c r="O136" s="95"/>
      <c r="P136" s="96"/>
      <c r="Q136" s="98" t="str">
        <f>IF($O136="N/A","",IF($P136="","",IF($P136&gt;=85%,"C","NC")))</f>
        <v/>
      </c>
      <c r="R136" s="81" t="str">
        <f t="shared" ref="R136:R137" si="30">IF($O136="N/A","",IF($P136="","",$P136*$W136))</f>
        <v/>
      </c>
      <c r="S136" s="5"/>
      <c r="T136" s="10"/>
      <c r="U136" s="10"/>
      <c r="V136" s="10"/>
      <c r="W136" s="82">
        <f t="shared" ref="W136:W137" si="31">IF(O136="N/A",0,D136)</f>
        <v>1</v>
      </c>
    </row>
    <row r="137" spans="3:23" ht="49.7" customHeight="1">
      <c r="C137" s="53" t="s">
        <v>341</v>
      </c>
      <c r="D137" s="51">
        <v>1</v>
      </c>
      <c r="E137" s="51" t="s">
        <v>232</v>
      </c>
      <c r="F137" s="63" t="s">
        <v>104</v>
      </c>
      <c r="G137" s="51" t="s">
        <v>63</v>
      </c>
      <c r="H137" s="51" t="s">
        <v>319</v>
      </c>
      <c r="I137" s="54" t="s">
        <v>342</v>
      </c>
      <c r="J137" s="58"/>
      <c r="K137" s="69" t="s">
        <v>343</v>
      </c>
      <c r="L137" s="70"/>
      <c r="M137" s="70"/>
      <c r="N137" s="80"/>
      <c r="O137" s="95"/>
      <c r="P137" s="96"/>
      <c r="Q137" s="98" t="str">
        <f>IF($O137="N/A","",IF($P137="","",IF($P137&gt;=85%,"C","NC")))</f>
        <v/>
      </c>
      <c r="R137" s="81" t="str">
        <f t="shared" si="30"/>
        <v/>
      </c>
      <c r="S137" s="5"/>
      <c r="T137" s="10"/>
      <c r="U137" s="10"/>
      <c r="V137" s="10"/>
      <c r="W137" s="82">
        <f t="shared" si="31"/>
        <v>1</v>
      </c>
    </row>
    <row r="138" spans="3:23" ht="15.6">
      <c r="C138" s="104"/>
      <c r="D138" s="105"/>
      <c r="E138" s="104"/>
      <c r="F138" s="104"/>
      <c r="G138" s="104"/>
      <c r="H138" s="104"/>
      <c r="I138" s="104"/>
      <c r="J138" s="104"/>
      <c r="K138" s="104"/>
      <c r="L138" s="104"/>
      <c r="M138" s="104"/>
      <c r="N138" s="67"/>
      <c r="O138" s="5"/>
      <c r="P138" s="5"/>
      <c r="Q138" s="5"/>
      <c r="R138" s="84" t="str">
        <f>IF(SUM(R136:R137)=0,"-",IFERROR(SUM(R136:R137),""))</f>
        <v>-</v>
      </c>
      <c r="S138" s="5"/>
      <c r="T138" s="10"/>
      <c r="U138" s="10"/>
      <c r="V138" s="10"/>
      <c r="W138" s="90"/>
    </row>
    <row r="139" spans="3:23" ht="15.6">
      <c r="C139" s="104"/>
      <c r="D139" s="105"/>
      <c r="E139" s="104"/>
      <c r="F139" s="104"/>
      <c r="G139" s="104"/>
      <c r="H139" s="104"/>
      <c r="I139" s="104"/>
      <c r="J139" s="104"/>
      <c r="K139" s="104"/>
      <c r="L139" s="104"/>
      <c r="M139" s="104"/>
      <c r="N139" s="67"/>
      <c r="O139" s="93" t="str">
        <f>IF(O136="N/A",IF(O137="N/A","N/A","-"),"-")</f>
        <v>-</v>
      </c>
      <c r="P139" s="94" t="str">
        <f>IF(O139="N/A","N/A",$R139)</f>
        <v>-</v>
      </c>
      <c r="Q139" s="90"/>
      <c r="R139" s="84" t="str">
        <f>IF(R138="-","-",IFERROR(($P136*W136+$P137*W137)/(SUM(W136:W137)),""))</f>
        <v>-</v>
      </c>
      <c r="S139" s="5"/>
      <c r="T139" s="10"/>
      <c r="U139" s="10"/>
      <c r="V139" s="10"/>
      <c r="W139" s="91"/>
    </row>
    <row r="140" spans="3:23" ht="3.75" customHeight="1">
      <c r="C140" s="55"/>
      <c r="D140" s="85"/>
      <c r="E140" s="55"/>
      <c r="F140" s="55"/>
      <c r="G140" s="55"/>
      <c r="H140" s="55"/>
      <c r="I140" s="55"/>
      <c r="J140" s="55"/>
      <c r="K140" s="55"/>
      <c r="L140" s="55"/>
      <c r="M140" s="55"/>
      <c r="N140" s="67"/>
      <c r="O140" s="5"/>
      <c r="P140" s="5"/>
      <c r="Q140" s="5"/>
      <c r="R140" s="5"/>
      <c r="S140" s="5"/>
    </row>
    <row r="141" spans="3:23" ht="14.25" customHeight="1">
      <c r="C141" s="56"/>
      <c r="D141" s="86">
        <v>4</v>
      </c>
      <c r="E141" s="56"/>
      <c r="F141" s="56"/>
      <c r="G141" s="56"/>
      <c r="H141" s="56"/>
      <c r="I141" s="57" t="s">
        <v>344</v>
      </c>
      <c r="J141" s="58"/>
      <c r="K141" s="55"/>
      <c r="L141" s="55"/>
      <c r="M141" s="55"/>
      <c r="N141" s="67"/>
      <c r="S141" s="10"/>
      <c r="T141" s="10"/>
      <c r="U141" s="10"/>
      <c r="V141" s="10"/>
      <c r="W141" s="7" t="s">
        <v>48</v>
      </c>
    </row>
    <row r="142" spans="3:23" ht="31.5">
      <c r="C142" s="53" t="s">
        <v>345</v>
      </c>
      <c r="D142" s="51">
        <v>1</v>
      </c>
      <c r="E142" s="51" t="s">
        <v>232</v>
      </c>
      <c r="F142" s="63" t="s">
        <v>52</v>
      </c>
      <c r="G142" s="51" t="s">
        <v>63</v>
      </c>
      <c r="H142" s="51" t="s">
        <v>319</v>
      </c>
      <c r="I142" s="54" t="s">
        <v>346</v>
      </c>
      <c r="J142" s="58"/>
      <c r="K142" s="69" t="s">
        <v>347</v>
      </c>
      <c r="L142" s="70"/>
      <c r="M142" s="70"/>
      <c r="N142" s="80"/>
      <c r="O142" s="95"/>
      <c r="P142" s="96"/>
      <c r="Q142" s="77" t="str">
        <f>IF($O142="N/A","",IF($P142="","",IF($P142&gt;=85%,"C","NC")))</f>
        <v/>
      </c>
      <c r="R142" s="81" t="str">
        <f t="shared" ref="R142:R144" si="32">IF($O142="N/A","",IF($P142="","",$P142*$W142))</f>
        <v/>
      </c>
      <c r="S142" s="5"/>
      <c r="T142" s="10"/>
      <c r="U142" s="10"/>
      <c r="V142" s="10"/>
      <c r="W142" s="82">
        <f t="shared" ref="W142:W144" si="33">IF(O142="N/A",0,D142)</f>
        <v>1</v>
      </c>
    </row>
    <row r="143" spans="3:23" ht="99" customHeight="1">
      <c r="C143" s="53" t="s">
        <v>348</v>
      </c>
      <c r="D143" s="51">
        <v>1</v>
      </c>
      <c r="E143" s="51" t="s">
        <v>232</v>
      </c>
      <c r="F143" s="63" t="s">
        <v>52</v>
      </c>
      <c r="G143" s="51"/>
      <c r="H143" s="51" t="s">
        <v>319</v>
      </c>
      <c r="I143" s="54" t="s">
        <v>349</v>
      </c>
      <c r="J143" s="58"/>
      <c r="K143" s="69" t="s">
        <v>350</v>
      </c>
      <c r="L143" s="70"/>
      <c r="M143" s="70"/>
      <c r="N143" s="80"/>
      <c r="O143" s="95"/>
      <c r="P143" s="96"/>
      <c r="Q143" s="77" t="str">
        <f>IF($O143="N/A","",IF($P143="","",IF($P143&gt;=85%,"C","NC")))</f>
        <v/>
      </c>
      <c r="R143" s="81" t="str">
        <f t="shared" si="32"/>
        <v/>
      </c>
      <c r="S143" s="5"/>
      <c r="T143" s="10"/>
      <c r="U143" s="10"/>
      <c r="V143" s="10"/>
      <c r="W143" s="82">
        <f t="shared" si="33"/>
        <v>1</v>
      </c>
    </row>
    <row r="144" spans="3:23" ht="99" customHeight="1">
      <c r="C144" s="53" t="s">
        <v>351</v>
      </c>
      <c r="D144" s="51">
        <v>1</v>
      </c>
      <c r="E144" s="51" t="s">
        <v>232</v>
      </c>
      <c r="F144" s="63" t="s">
        <v>52</v>
      </c>
      <c r="G144" s="51" t="s">
        <v>63</v>
      </c>
      <c r="H144" s="51" t="s">
        <v>319</v>
      </c>
      <c r="I144" s="54" t="s">
        <v>352</v>
      </c>
      <c r="J144" s="58"/>
      <c r="K144" s="69" t="s">
        <v>353</v>
      </c>
      <c r="L144" s="70"/>
      <c r="M144" s="70"/>
      <c r="N144" s="80"/>
      <c r="O144" s="95"/>
      <c r="P144" s="96"/>
      <c r="Q144" s="77" t="str">
        <f>IF($O144="N/A","",IF($P144="","",IF($P144&gt;=85%,"C","NC")))</f>
        <v/>
      </c>
      <c r="R144" s="81" t="str">
        <f t="shared" si="32"/>
        <v/>
      </c>
      <c r="S144" s="5"/>
      <c r="T144" s="10"/>
      <c r="U144" s="10"/>
      <c r="V144" s="10"/>
      <c r="W144" s="82">
        <f t="shared" si="33"/>
        <v>1</v>
      </c>
    </row>
    <row r="145" spans="3:23" ht="15.6">
      <c r="C145" s="104"/>
      <c r="D145" s="105"/>
      <c r="E145" s="104"/>
      <c r="F145" s="104"/>
      <c r="G145" s="104"/>
      <c r="H145" s="104"/>
      <c r="I145" s="104"/>
      <c r="J145" s="104"/>
      <c r="K145" s="104"/>
      <c r="L145" s="104"/>
      <c r="M145" s="104"/>
      <c r="N145" s="67"/>
      <c r="O145" s="5"/>
      <c r="P145" s="5"/>
      <c r="Q145" s="5"/>
      <c r="R145" s="84" t="str">
        <f>IF(SUM(R142:R144)=0,"-",IFERROR(SUM(R142:R144),""))</f>
        <v>-</v>
      </c>
      <c r="S145" s="5"/>
      <c r="T145" s="10"/>
      <c r="U145" s="10"/>
      <c r="V145" s="10"/>
      <c r="W145" s="10"/>
    </row>
    <row r="146" spans="3:23" ht="15.6">
      <c r="C146" s="104"/>
      <c r="D146" s="105"/>
      <c r="E146" s="104"/>
      <c r="F146" s="104"/>
      <c r="G146" s="104"/>
      <c r="H146" s="104"/>
      <c r="I146" s="104"/>
      <c r="J146" s="104"/>
      <c r="K146" s="104"/>
      <c r="L146" s="104"/>
      <c r="M146" s="104"/>
      <c r="N146" s="67"/>
      <c r="O146" s="93" t="str">
        <f>IF(O142="N/A",IF(O143="N/A",IF(O144="N/A","N/A","-"),"-"),"-")</f>
        <v>-</v>
      </c>
      <c r="P146" s="94" t="str">
        <f>IF(O146="N/A","N/A",$R146)</f>
        <v>-</v>
      </c>
      <c r="Q146" s="90"/>
      <c r="R146" s="84" t="str">
        <f>IF(R145="-","-",IFERROR(($P142*W142+$P143*W143+$P144*W144)/(SUM(W142:W144)),""))</f>
        <v>-</v>
      </c>
      <c r="S146" s="5"/>
      <c r="T146" s="10"/>
      <c r="U146" s="10"/>
      <c r="V146" s="10"/>
      <c r="W146" s="10"/>
    </row>
    <row r="147" spans="3:23" ht="3.75" customHeight="1">
      <c r="C147" s="55"/>
      <c r="D147" s="85"/>
      <c r="E147" s="55"/>
      <c r="F147" s="55"/>
      <c r="G147" s="55"/>
      <c r="H147" s="55"/>
      <c r="I147" s="55"/>
      <c r="J147" s="55"/>
      <c r="K147" s="55"/>
      <c r="L147" s="55"/>
      <c r="M147" s="55"/>
      <c r="N147" s="67"/>
      <c r="O147" s="5"/>
      <c r="P147" s="5"/>
      <c r="Q147" s="5"/>
      <c r="R147" s="5"/>
      <c r="S147" s="5"/>
    </row>
    <row r="148" spans="3:23" ht="14.25" customHeight="1">
      <c r="C148" s="56"/>
      <c r="D148" s="86">
        <v>3</v>
      </c>
      <c r="E148" s="56"/>
      <c r="F148" s="56"/>
      <c r="G148" s="56"/>
      <c r="H148" s="56"/>
      <c r="I148" s="57" t="s">
        <v>354</v>
      </c>
      <c r="J148" s="58"/>
      <c r="K148" s="55"/>
      <c r="L148" s="55"/>
      <c r="M148" s="55"/>
      <c r="N148" s="67"/>
      <c r="S148" s="10"/>
      <c r="T148" s="10"/>
      <c r="U148" s="10"/>
      <c r="V148" s="10"/>
      <c r="W148" s="7" t="s">
        <v>48</v>
      </c>
    </row>
    <row r="149" spans="3:23" ht="21">
      <c r="C149" s="53" t="s">
        <v>355</v>
      </c>
      <c r="D149" s="51">
        <v>1</v>
      </c>
      <c r="E149" s="51" t="s">
        <v>51</v>
      </c>
      <c r="F149" s="63" t="s">
        <v>52</v>
      </c>
      <c r="G149" s="51" t="s">
        <v>356</v>
      </c>
      <c r="H149" s="51" t="s">
        <v>357</v>
      </c>
      <c r="I149" s="54" t="s">
        <v>358</v>
      </c>
      <c r="J149" s="58"/>
      <c r="K149" s="69" t="s">
        <v>359</v>
      </c>
      <c r="L149" s="70"/>
      <c r="M149" s="70"/>
      <c r="N149" s="80"/>
      <c r="O149" s="95"/>
      <c r="P149" s="96"/>
      <c r="Q149" s="77" t="str">
        <f>IF($O149="N/A","",IF($P149="","",IF($P149&gt;=85%,"C","NC")))</f>
        <v/>
      </c>
      <c r="R149" s="81" t="str">
        <f t="shared" ref="R149:R150" si="34">IF($O149="N/A","",IF($P149="","",$P149*$W149))</f>
        <v/>
      </c>
      <c r="S149" s="5"/>
      <c r="T149" s="10"/>
      <c r="U149" s="10"/>
      <c r="V149" s="10"/>
      <c r="W149" s="82">
        <f t="shared" ref="W149:W150" si="35">IF(O149="N/A",0,D149)</f>
        <v>1</v>
      </c>
    </row>
    <row r="150" spans="3:23" ht="52.5">
      <c r="C150" s="53" t="s">
        <v>360</v>
      </c>
      <c r="D150" s="51">
        <v>1</v>
      </c>
      <c r="E150" s="51" t="s">
        <v>58</v>
      </c>
      <c r="F150" s="63" t="s">
        <v>52</v>
      </c>
      <c r="G150" s="51" t="s">
        <v>356</v>
      </c>
      <c r="H150" s="51" t="s">
        <v>361</v>
      </c>
      <c r="I150" s="54" t="s">
        <v>362</v>
      </c>
      <c r="J150" s="58"/>
      <c r="K150" s="69" t="s">
        <v>363</v>
      </c>
      <c r="L150" s="70"/>
      <c r="M150" s="70"/>
      <c r="N150" s="80"/>
      <c r="O150" s="95"/>
      <c r="P150" s="96"/>
      <c r="Q150" s="77" t="str">
        <f>IF($O150="N/A","",IF($P150="","",IF($P150&gt;=85%,"C","NC")))</f>
        <v/>
      </c>
      <c r="R150" s="81" t="str">
        <f t="shared" si="34"/>
        <v/>
      </c>
      <c r="S150" s="5"/>
      <c r="T150" s="10"/>
      <c r="U150" s="10"/>
      <c r="V150" s="10"/>
      <c r="W150" s="82">
        <f t="shared" si="35"/>
        <v>1</v>
      </c>
    </row>
    <row r="151" spans="3:23" ht="15.6">
      <c r="C151" s="104"/>
      <c r="D151" s="105"/>
      <c r="E151" s="104"/>
      <c r="F151" s="104"/>
      <c r="G151" s="104"/>
      <c r="H151" s="104"/>
      <c r="I151" s="104"/>
      <c r="J151" s="104"/>
      <c r="K151" s="104"/>
      <c r="L151" s="104"/>
      <c r="M151" s="104"/>
      <c r="N151" s="67"/>
      <c r="O151" s="5"/>
      <c r="P151" s="5"/>
      <c r="Q151" s="5"/>
      <c r="R151" s="84" t="str">
        <f>IF(SUM(R149:R150)=0,"-",IFERROR(SUM(R149:R150),""))</f>
        <v>-</v>
      </c>
      <c r="S151" s="5"/>
      <c r="T151" s="10"/>
      <c r="U151" s="10"/>
      <c r="V151" s="10"/>
      <c r="W151" s="10"/>
    </row>
    <row r="152" spans="3:23" ht="15.6">
      <c r="C152" s="104"/>
      <c r="D152" s="105"/>
      <c r="E152" s="104"/>
      <c r="F152" s="104"/>
      <c r="G152" s="104"/>
      <c r="H152" s="104"/>
      <c r="I152" s="104"/>
      <c r="J152" s="104"/>
      <c r="K152" s="104"/>
      <c r="L152" s="104"/>
      <c r="M152" s="104"/>
      <c r="N152" s="67"/>
      <c r="O152" s="93" t="str">
        <f>IF(O149="N/A",IF(O150="N/A","N/A","-"),"-")</f>
        <v>-</v>
      </c>
      <c r="P152" s="94" t="str">
        <f>IF(O152="N/A","N/A",$R152)</f>
        <v>-</v>
      </c>
      <c r="Q152" s="90"/>
      <c r="R152" s="84" t="str">
        <f>IF(R151="-","-",IFERROR(($P149*W149+$P150*W150)/(SUM(W149:W150)),""))</f>
        <v>-</v>
      </c>
      <c r="S152" s="5"/>
      <c r="T152" s="10"/>
      <c r="U152" s="10"/>
      <c r="V152" s="10"/>
      <c r="W152" s="10"/>
    </row>
    <row r="153" spans="3:23" ht="3.75" customHeight="1">
      <c r="C153" s="55"/>
      <c r="D153" s="85"/>
      <c r="E153" s="55"/>
      <c r="F153" s="55"/>
      <c r="G153" s="55"/>
      <c r="H153" s="55"/>
      <c r="I153" s="55"/>
      <c r="J153" s="55"/>
      <c r="K153" s="55"/>
      <c r="L153" s="55"/>
      <c r="M153" s="55"/>
      <c r="N153" s="67"/>
      <c r="O153" s="5"/>
      <c r="P153" s="5"/>
      <c r="Q153" s="5"/>
      <c r="R153" s="5"/>
      <c r="S153" s="5"/>
    </row>
    <row r="154" spans="3:23" ht="14.25" customHeight="1">
      <c r="C154" s="56"/>
      <c r="D154" s="86">
        <v>3</v>
      </c>
      <c r="E154" s="56"/>
      <c r="F154" s="56"/>
      <c r="G154" s="56"/>
      <c r="H154" s="56"/>
      <c r="I154" s="57" t="s">
        <v>364</v>
      </c>
      <c r="J154" s="58"/>
      <c r="K154" s="55"/>
      <c r="L154" s="55"/>
      <c r="M154" s="55"/>
      <c r="N154" s="67"/>
      <c r="O154" s="5"/>
      <c r="P154" s="5"/>
      <c r="Q154" s="5"/>
      <c r="R154" s="11"/>
      <c r="S154" s="5"/>
      <c r="W154" s="7" t="s">
        <v>48</v>
      </c>
    </row>
    <row r="155" spans="3:23" ht="31.5">
      <c r="C155" s="53" t="s">
        <v>365</v>
      </c>
      <c r="D155" s="51">
        <v>1</v>
      </c>
      <c r="E155" s="51" t="s">
        <v>143</v>
      </c>
      <c r="F155" s="51" t="s">
        <v>104</v>
      </c>
      <c r="G155" s="51" t="s">
        <v>63</v>
      </c>
      <c r="H155" s="51" t="s">
        <v>319</v>
      </c>
      <c r="I155" s="54" t="s">
        <v>366</v>
      </c>
      <c r="J155" s="58"/>
      <c r="K155" s="69" t="s">
        <v>367</v>
      </c>
      <c r="L155" s="70"/>
      <c r="M155" s="70"/>
      <c r="N155" s="80"/>
      <c r="O155" s="95"/>
      <c r="P155" s="96"/>
      <c r="Q155" s="77" t="str">
        <f t="shared" ref="Q155:Q162" si="36">IF($O155="N/A","",IF($P155="","",IF($P155&gt;=85%,"C","NC")))</f>
        <v/>
      </c>
      <c r="R155" s="81" t="str">
        <f t="shared" ref="R155:R162" si="37">IF($O155="N/A","",IF($P155="","",$P155*$W155))</f>
        <v/>
      </c>
      <c r="S155" s="5"/>
      <c r="T155" s="10"/>
      <c r="U155" s="10"/>
      <c r="V155" s="10"/>
      <c r="W155" s="82">
        <f t="shared" ref="W155:W162" si="38">IF(O155="N/A",0,D155)</f>
        <v>1</v>
      </c>
    </row>
    <row r="156" spans="3:23" ht="21">
      <c r="C156" s="53" t="s">
        <v>368</v>
      </c>
      <c r="D156" s="51">
        <v>1</v>
      </c>
      <c r="E156" s="51" t="s">
        <v>232</v>
      </c>
      <c r="F156" s="51" t="s">
        <v>104</v>
      </c>
      <c r="G156" s="51" t="s">
        <v>63</v>
      </c>
      <c r="H156" s="51" t="s">
        <v>369</v>
      </c>
      <c r="I156" s="54" t="s">
        <v>370</v>
      </c>
      <c r="J156" s="58"/>
      <c r="K156" s="69" t="s">
        <v>371</v>
      </c>
      <c r="L156" s="70"/>
      <c r="M156" s="70"/>
      <c r="N156" s="80"/>
      <c r="O156" s="95"/>
      <c r="P156" s="96"/>
      <c r="Q156" s="77" t="str">
        <f t="shared" si="36"/>
        <v/>
      </c>
      <c r="R156" s="81" t="str">
        <f t="shared" si="37"/>
        <v/>
      </c>
      <c r="S156" s="5"/>
      <c r="T156" s="10"/>
      <c r="U156" s="10"/>
      <c r="V156" s="10"/>
      <c r="W156" s="82">
        <f t="shared" si="38"/>
        <v>1</v>
      </c>
    </row>
    <row r="157" spans="3:23" ht="31.5">
      <c r="C157" s="53" t="s">
        <v>372</v>
      </c>
      <c r="D157" s="51">
        <v>1</v>
      </c>
      <c r="E157" s="51" t="s">
        <v>232</v>
      </c>
      <c r="F157" s="51" t="s">
        <v>104</v>
      </c>
      <c r="G157" s="51" t="s">
        <v>63</v>
      </c>
      <c r="H157" s="51" t="s">
        <v>319</v>
      </c>
      <c r="I157" s="54" t="s">
        <v>373</v>
      </c>
      <c r="J157" s="58"/>
      <c r="K157" s="69" t="s">
        <v>374</v>
      </c>
      <c r="L157" s="70"/>
      <c r="M157" s="70"/>
      <c r="N157" s="80"/>
      <c r="O157" s="95"/>
      <c r="P157" s="96"/>
      <c r="Q157" s="77" t="str">
        <f t="shared" si="36"/>
        <v/>
      </c>
      <c r="R157" s="81" t="str">
        <f t="shared" si="37"/>
        <v/>
      </c>
      <c r="S157" s="5"/>
      <c r="T157" s="10"/>
      <c r="U157" s="10"/>
      <c r="V157" s="10"/>
      <c r="W157" s="82">
        <f t="shared" si="38"/>
        <v>1</v>
      </c>
    </row>
    <row r="158" spans="3:23" ht="31.5">
      <c r="C158" s="53" t="s">
        <v>375</v>
      </c>
      <c r="D158" s="51">
        <v>1</v>
      </c>
      <c r="E158" s="51" t="s">
        <v>232</v>
      </c>
      <c r="F158" s="51" t="s">
        <v>104</v>
      </c>
      <c r="G158" s="51" t="s">
        <v>63</v>
      </c>
      <c r="H158" s="51" t="s">
        <v>319</v>
      </c>
      <c r="I158" s="54" t="s">
        <v>376</v>
      </c>
      <c r="J158" s="58"/>
      <c r="K158" s="69" t="s">
        <v>377</v>
      </c>
      <c r="L158" s="70"/>
      <c r="M158" s="70"/>
      <c r="N158" s="80"/>
      <c r="O158" s="95"/>
      <c r="P158" s="96"/>
      <c r="Q158" s="77" t="str">
        <f t="shared" si="36"/>
        <v/>
      </c>
      <c r="R158" s="81" t="str">
        <f t="shared" si="37"/>
        <v/>
      </c>
      <c r="S158" s="5"/>
      <c r="T158" s="10"/>
      <c r="U158" s="10"/>
      <c r="V158" s="10"/>
      <c r="W158" s="82">
        <f t="shared" si="38"/>
        <v>1</v>
      </c>
    </row>
    <row r="159" spans="3:23" ht="31.5">
      <c r="C159" s="53" t="s">
        <v>378</v>
      </c>
      <c r="D159" s="51">
        <v>1</v>
      </c>
      <c r="E159" s="51" t="s">
        <v>232</v>
      </c>
      <c r="F159" s="51" t="s">
        <v>104</v>
      </c>
      <c r="G159" s="51" t="s">
        <v>63</v>
      </c>
      <c r="H159" s="51" t="s">
        <v>319</v>
      </c>
      <c r="I159" s="54" t="s">
        <v>379</v>
      </c>
      <c r="J159" s="58"/>
      <c r="K159" s="69" t="s">
        <v>380</v>
      </c>
      <c r="L159" s="70"/>
      <c r="M159" s="70"/>
      <c r="N159" s="80"/>
      <c r="O159" s="95"/>
      <c r="P159" s="96"/>
      <c r="Q159" s="77" t="str">
        <f t="shared" si="36"/>
        <v/>
      </c>
      <c r="R159" s="81" t="str">
        <f t="shared" si="37"/>
        <v/>
      </c>
      <c r="S159" s="5"/>
      <c r="T159" s="10"/>
      <c r="U159" s="10"/>
      <c r="V159" s="10"/>
      <c r="W159" s="82">
        <f t="shared" si="38"/>
        <v>1</v>
      </c>
    </row>
    <row r="160" spans="3:23" ht="31.5">
      <c r="C160" s="53" t="s">
        <v>381</v>
      </c>
      <c r="D160" s="51">
        <v>1</v>
      </c>
      <c r="E160" s="51" t="s">
        <v>232</v>
      </c>
      <c r="F160" s="51" t="s">
        <v>104</v>
      </c>
      <c r="G160" s="51" t="s">
        <v>63</v>
      </c>
      <c r="H160" s="51" t="s">
        <v>319</v>
      </c>
      <c r="I160" s="54" t="s">
        <v>382</v>
      </c>
      <c r="J160" s="58"/>
      <c r="K160" s="69" t="s">
        <v>383</v>
      </c>
      <c r="L160" s="70"/>
      <c r="M160" s="70"/>
      <c r="N160" s="80"/>
      <c r="O160" s="95"/>
      <c r="P160" s="96"/>
      <c r="Q160" s="77" t="str">
        <f t="shared" si="36"/>
        <v/>
      </c>
      <c r="R160" s="81" t="str">
        <f t="shared" si="37"/>
        <v/>
      </c>
      <c r="S160" s="5"/>
      <c r="T160" s="10"/>
      <c r="U160" s="10"/>
      <c r="V160" s="10"/>
      <c r="W160" s="82">
        <f t="shared" si="38"/>
        <v>1</v>
      </c>
    </row>
    <row r="161" spans="3:23" ht="31.5">
      <c r="C161" s="53" t="s">
        <v>384</v>
      </c>
      <c r="D161" s="51">
        <v>1</v>
      </c>
      <c r="E161" s="51" t="s">
        <v>232</v>
      </c>
      <c r="F161" s="51" t="s">
        <v>104</v>
      </c>
      <c r="G161" s="51" t="s">
        <v>63</v>
      </c>
      <c r="H161" s="51" t="s">
        <v>319</v>
      </c>
      <c r="I161" s="54" t="s">
        <v>385</v>
      </c>
      <c r="J161" s="58"/>
      <c r="K161" s="69" t="s">
        <v>386</v>
      </c>
      <c r="L161" s="70"/>
      <c r="M161" s="70"/>
      <c r="N161" s="80"/>
      <c r="O161" s="95"/>
      <c r="P161" s="96"/>
      <c r="Q161" s="77" t="str">
        <f t="shared" si="36"/>
        <v/>
      </c>
      <c r="R161" s="81" t="str">
        <f t="shared" si="37"/>
        <v/>
      </c>
      <c r="S161" s="5"/>
      <c r="T161" s="10"/>
      <c r="U161" s="10"/>
      <c r="V161" s="10"/>
      <c r="W161" s="82">
        <f t="shared" si="38"/>
        <v>1</v>
      </c>
    </row>
    <row r="162" spans="3:23" ht="31.5">
      <c r="C162" s="53" t="s">
        <v>387</v>
      </c>
      <c r="D162" s="51">
        <v>1</v>
      </c>
      <c r="E162" s="51" t="s">
        <v>143</v>
      </c>
      <c r="F162" s="51" t="s">
        <v>72</v>
      </c>
      <c r="G162" s="51" t="s">
        <v>63</v>
      </c>
      <c r="H162" s="51" t="s">
        <v>319</v>
      </c>
      <c r="I162" s="54" t="s">
        <v>388</v>
      </c>
      <c r="J162" s="58"/>
      <c r="K162" s="69" t="s">
        <v>389</v>
      </c>
      <c r="L162" s="70"/>
      <c r="M162" s="70"/>
      <c r="N162" s="80"/>
      <c r="O162" s="95"/>
      <c r="P162" s="96"/>
      <c r="Q162" s="77" t="str">
        <f t="shared" si="36"/>
        <v/>
      </c>
      <c r="R162" s="81" t="str">
        <f t="shared" si="37"/>
        <v/>
      </c>
      <c r="S162" s="5"/>
      <c r="T162" s="10"/>
      <c r="U162" s="10"/>
      <c r="V162" s="10"/>
      <c r="W162" s="82">
        <f t="shared" si="38"/>
        <v>1</v>
      </c>
    </row>
    <row r="163" spans="3:23" ht="15.6">
      <c r="C163" s="104"/>
      <c r="D163" s="105"/>
      <c r="E163" s="104"/>
      <c r="F163" s="104"/>
      <c r="G163" s="104"/>
      <c r="H163" s="104"/>
      <c r="I163" s="104"/>
      <c r="J163" s="104"/>
      <c r="K163" s="104"/>
      <c r="L163" s="104"/>
      <c r="M163" s="104"/>
      <c r="N163" s="67"/>
      <c r="O163" s="5"/>
      <c r="P163" s="5"/>
      <c r="Q163" s="5"/>
      <c r="R163" s="84" t="str">
        <f>IF(SUM(R155:R162)=0,"-",IFERROR(SUM(R155:R162),""))</f>
        <v>-</v>
      </c>
      <c r="S163" s="5"/>
      <c r="T163" s="10"/>
      <c r="U163" s="10"/>
      <c r="V163" s="10"/>
      <c r="W163" s="10"/>
    </row>
    <row r="164" spans="3:23" ht="15.6">
      <c r="C164" s="104"/>
      <c r="D164" s="105"/>
      <c r="E164" s="104"/>
      <c r="F164" s="104"/>
      <c r="G164" s="104"/>
      <c r="H164" s="104"/>
      <c r="I164" s="104"/>
      <c r="J164" s="104"/>
      <c r="K164" s="104"/>
      <c r="L164" s="104"/>
      <c r="M164" s="104"/>
      <c r="N164" s="67"/>
      <c r="O164" s="93" t="str">
        <f>IF(O155="N/A",IF(O156="N/A",IF(O157="N/A",IF(O158="N/A",IF(O159="N/A",IF(O160="N/A",IF(O161="N/A",IF(O162="N/A","N/A","-"),"-"),"-"),"-"),"-"),"-"),"-"),"-")</f>
        <v>-</v>
      </c>
      <c r="P164" s="94" t="str">
        <f>IF(O164="N/A","N/A",$R164)</f>
        <v>-</v>
      </c>
      <c r="Q164" s="90"/>
      <c r="R164" s="84" t="str">
        <f>IF(R163="-","-",IFERROR(($P155*W155+$P156*W156+$P157*W157+$P158*W158+$P159*W159+$P160*W160+$P161*W161+$P162*W162)/(SUM(W155:W162)),""))</f>
        <v>-</v>
      </c>
      <c r="S164" s="5"/>
      <c r="T164" s="10"/>
      <c r="U164" s="10"/>
      <c r="V164" s="10"/>
      <c r="W164" s="10"/>
    </row>
    <row r="165" spans="3:23" ht="3.75" customHeight="1">
      <c r="C165" s="55"/>
      <c r="D165" s="85"/>
      <c r="E165" s="55"/>
      <c r="F165" s="55"/>
      <c r="G165" s="55"/>
      <c r="H165" s="55"/>
      <c r="I165" s="55"/>
      <c r="J165" s="55"/>
      <c r="K165" s="55"/>
      <c r="L165" s="55"/>
      <c r="M165" s="55"/>
      <c r="N165" s="67"/>
      <c r="O165" s="5"/>
      <c r="P165" s="5"/>
      <c r="Q165" s="5"/>
      <c r="R165" s="5"/>
      <c r="S165" s="5"/>
    </row>
    <row r="166" spans="3:23" ht="14.25" customHeight="1">
      <c r="C166" s="56"/>
      <c r="D166" s="86">
        <v>5</v>
      </c>
      <c r="E166" s="56"/>
      <c r="F166" s="56"/>
      <c r="G166" s="56"/>
      <c r="H166" s="56"/>
      <c r="I166" s="57" t="s">
        <v>390</v>
      </c>
      <c r="J166" s="58"/>
      <c r="K166" s="55"/>
      <c r="L166" s="55"/>
      <c r="M166" s="55"/>
      <c r="N166" s="67"/>
      <c r="S166" s="5"/>
      <c r="W166" s="7" t="s">
        <v>48</v>
      </c>
    </row>
    <row r="167" spans="3:23" ht="83.45" customHeight="1">
      <c r="C167" s="53" t="s">
        <v>391</v>
      </c>
      <c r="D167" s="51">
        <v>1</v>
      </c>
      <c r="E167" s="51" t="s">
        <v>143</v>
      </c>
      <c r="F167" s="63" t="s">
        <v>52</v>
      </c>
      <c r="G167" s="51" t="s">
        <v>63</v>
      </c>
      <c r="H167" s="51" t="s">
        <v>392</v>
      </c>
      <c r="I167" s="54" t="s">
        <v>393</v>
      </c>
      <c r="J167" s="58"/>
      <c r="K167" s="69" t="s">
        <v>394</v>
      </c>
      <c r="L167" s="70"/>
      <c r="M167" s="70"/>
      <c r="N167" s="80"/>
      <c r="O167" s="95"/>
      <c r="P167" s="96"/>
      <c r="Q167" s="77" t="str">
        <f t="shared" ref="Q167:Q178" si="39">IF($O167="N/A","",IF($P167="","",IF($P167&gt;=85%,"C","NC")))</f>
        <v/>
      </c>
      <c r="R167" s="81" t="str">
        <f t="shared" ref="R167:R178" si="40">IF($O167="N/A","",IF($P167="","",$P167*$W167))</f>
        <v/>
      </c>
      <c r="S167" s="5"/>
      <c r="T167" s="10"/>
      <c r="U167" s="10"/>
      <c r="V167" s="10"/>
      <c r="W167" s="82">
        <f t="shared" ref="W167:W178" si="41">IF(O167="N/A",0,D167)</f>
        <v>1</v>
      </c>
    </row>
    <row r="168" spans="3:23" ht="45.6" customHeight="1">
      <c r="C168" s="53" t="s">
        <v>395</v>
      </c>
      <c r="D168" s="51">
        <v>1</v>
      </c>
      <c r="E168" s="51" t="s">
        <v>143</v>
      </c>
      <c r="F168" s="63" t="s">
        <v>52</v>
      </c>
      <c r="G168" s="51"/>
      <c r="H168" s="51" t="s">
        <v>396</v>
      </c>
      <c r="I168" s="54" t="s">
        <v>397</v>
      </c>
      <c r="J168" s="58"/>
      <c r="K168" s="69" t="s">
        <v>398</v>
      </c>
      <c r="L168" s="70"/>
      <c r="M168" s="70"/>
      <c r="N168" s="80"/>
      <c r="O168" s="95"/>
      <c r="P168" s="96"/>
      <c r="Q168" s="77" t="str">
        <f t="shared" si="39"/>
        <v/>
      </c>
      <c r="R168" s="81" t="str">
        <f t="shared" si="40"/>
        <v/>
      </c>
      <c r="S168" s="5"/>
      <c r="T168" s="10"/>
      <c r="U168" s="10"/>
      <c r="V168" s="10"/>
      <c r="W168" s="82">
        <f t="shared" si="41"/>
        <v>1</v>
      </c>
    </row>
    <row r="169" spans="3:23" ht="31.35" customHeight="1">
      <c r="C169" s="53" t="s">
        <v>399</v>
      </c>
      <c r="D169" s="51">
        <v>1</v>
      </c>
      <c r="E169" s="51" t="s">
        <v>143</v>
      </c>
      <c r="F169" s="63" t="s">
        <v>104</v>
      </c>
      <c r="G169" s="51"/>
      <c r="H169" s="51" t="s">
        <v>396</v>
      </c>
      <c r="I169" s="54" t="s">
        <v>400</v>
      </c>
      <c r="J169" s="58"/>
      <c r="K169" s="69" t="s">
        <v>401</v>
      </c>
      <c r="L169" s="70"/>
      <c r="M169" s="99"/>
      <c r="N169" s="80"/>
      <c r="O169" s="95"/>
      <c r="P169" s="96"/>
      <c r="Q169" s="77" t="str">
        <f t="shared" si="39"/>
        <v/>
      </c>
      <c r="R169" s="81" t="str">
        <f t="shared" si="40"/>
        <v/>
      </c>
      <c r="S169" s="5"/>
      <c r="T169" s="10"/>
      <c r="U169" s="10"/>
      <c r="V169" s="10"/>
      <c r="W169" s="82">
        <f t="shared" si="41"/>
        <v>1</v>
      </c>
    </row>
    <row r="170" spans="3:23" ht="15.6">
      <c r="C170" s="53" t="s">
        <v>402</v>
      </c>
      <c r="D170" s="51">
        <v>1</v>
      </c>
      <c r="E170" s="51" t="s">
        <v>143</v>
      </c>
      <c r="F170" s="63" t="s">
        <v>104</v>
      </c>
      <c r="G170" s="51"/>
      <c r="H170" s="51" t="s">
        <v>396</v>
      </c>
      <c r="I170" s="54" t="s">
        <v>403</v>
      </c>
      <c r="J170" s="58"/>
      <c r="K170" s="69" t="s">
        <v>404</v>
      </c>
      <c r="L170" s="70"/>
      <c r="M170" s="70"/>
      <c r="N170" s="80"/>
      <c r="O170" s="95"/>
      <c r="P170" s="96"/>
      <c r="Q170" s="77" t="str">
        <f t="shared" si="39"/>
        <v/>
      </c>
      <c r="R170" s="81" t="str">
        <f t="shared" si="40"/>
        <v/>
      </c>
      <c r="S170" s="5"/>
      <c r="T170" s="10"/>
      <c r="U170" s="10"/>
      <c r="V170" s="10"/>
      <c r="W170" s="82">
        <f t="shared" si="41"/>
        <v>1</v>
      </c>
    </row>
    <row r="171" spans="3:23" ht="15.6">
      <c r="C171" s="53" t="s">
        <v>405</v>
      </c>
      <c r="D171" s="51">
        <v>1</v>
      </c>
      <c r="E171" s="51" t="s">
        <v>143</v>
      </c>
      <c r="F171" s="63" t="s">
        <v>104</v>
      </c>
      <c r="G171" s="51"/>
      <c r="H171" s="51" t="s">
        <v>396</v>
      </c>
      <c r="I171" s="54" t="s">
        <v>406</v>
      </c>
      <c r="J171" s="58"/>
      <c r="K171" s="69"/>
      <c r="L171" s="70"/>
      <c r="M171" s="70"/>
      <c r="N171" s="80"/>
      <c r="O171" s="95"/>
      <c r="P171" s="96"/>
      <c r="Q171" s="77" t="str">
        <f t="shared" si="39"/>
        <v/>
      </c>
      <c r="R171" s="81" t="str">
        <f t="shared" si="40"/>
        <v/>
      </c>
      <c r="S171" s="5"/>
      <c r="T171" s="10"/>
      <c r="U171" s="10"/>
      <c r="V171" s="10"/>
      <c r="W171" s="82">
        <f t="shared" si="41"/>
        <v>1</v>
      </c>
    </row>
    <row r="172" spans="3:23" ht="15.6">
      <c r="C172" s="53" t="s">
        <v>407</v>
      </c>
      <c r="D172" s="51">
        <v>1</v>
      </c>
      <c r="E172" s="51" t="s">
        <v>143</v>
      </c>
      <c r="F172" s="63" t="s">
        <v>104</v>
      </c>
      <c r="G172" s="51" t="s">
        <v>63</v>
      </c>
      <c r="H172" s="51" t="s">
        <v>396</v>
      </c>
      <c r="I172" s="54" t="s">
        <v>408</v>
      </c>
      <c r="J172" s="58"/>
      <c r="K172" s="69" t="s">
        <v>409</v>
      </c>
      <c r="L172" s="70"/>
      <c r="M172" s="70"/>
      <c r="N172" s="80"/>
      <c r="O172" s="95"/>
      <c r="P172" s="96"/>
      <c r="Q172" s="77" t="str">
        <f t="shared" si="39"/>
        <v/>
      </c>
      <c r="R172" s="81" t="str">
        <f t="shared" si="40"/>
        <v/>
      </c>
      <c r="S172" s="5"/>
      <c r="T172" s="10"/>
      <c r="U172" s="10"/>
      <c r="V172" s="10"/>
      <c r="W172" s="82">
        <f t="shared" si="41"/>
        <v>1</v>
      </c>
    </row>
    <row r="173" spans="3:23" ht="31.5">
      <c r="C173" s="53" t="s">
        <v>410</v>
      </c>
      <c r="D173" s="51">
        <v>1</v>
      </c>
      <c r="E173" s="51" t="s">
        <v>143</v>
      </c>
      <c r="F173" s="63" t="s">
        <v>104</v>
      </c>
      <c r="G173" s="51" t="s">
        <v>63</v>
      </c>
      <c r="H173" s="51" t="s">
        <v>396</v>
      </c>
      <c r="I173" s="54" t="s">
        <v>411</v>
      </c>
      <c r="J173" s="58"/>
      <c r="K173" s="69" t="s">
        <v>412</v>
      </c>
      <c r="L173" s="70"/>
      <c r="M173" s="70"/>
      <c r="N173" s="80"/>
      <c r="O173" s="95"/>
      <c r="P173" s="96"/>
      <c r="Q173" s="77" t="str">
        <f t="shared" si="39"/>
        <v/>
      </c>
      <c r="R173" s="81" t="str">
        <f t="shared" si="40"/>
        <v/>
      </c>
      <c r="S173" s="5"/>
      <c r="T173" s="10"/>
      <c r="U173" s="10"/>
      <c r="V173" s="10"/>
      <c r="W173" s="82">
        <f t="shared" si="41"/>
        <v>1</v>
      </c>
    </row>
    <row r="174" spans="3:23" ht="52.5">
      <c r="C174" s="53" t="s">
        <v>413</v>
      </c>
      <c r="D174" s="51">
        <v>1</v>
      </c>
      <c r="E174" s="51" t="s">
        <v>143</v>
      </c>
      <c r="F174" s="63" t="s">
        <v>104</v>
      </c>
      <c r="G174" s="51" t="s">
        <v>63</v>
      </c>
      <c r="H174" s="51" t="s">
        <v>396</v>
      </c>
      <c r="I174" s="54" t="s">
        <v>414</v>
      </c>
      <c r="J174" s="58"/>
      <c r="K174" s="69" t="s">
        <v>415</v>
      </c>
      <c r="L174" s="70"/>
      <c r="M174" s="70"/>
      <c r="N174" s="80"/>
      <c r="O174" s="95"/>
      <c r="P174" s="96"/>
      <c r="Q174" s="77" t="str">
        <f t="shared" si="39"/>
        <v/>
      </c>
      <c r="R174" s="81" t="str">
        <f t="shared" si="40"/>
        <v/>
      </c>
      <c r="S174" s="5"/>
      <c r="T174" s="10"/>
      <c r="U174" s="10"/>
      <c r="V174" s="10"/>
      <c r="W174" s="82">
        <f t="shared" si="41"/>
        <v>1</v>
      </c>
    </row>
    <row r="175" spans="3:23" ht="26.45" customHeight="1">
      <c r="C175" s="53" t="s">
        <v>416</v>
      </c>
      <c r="D175" s="51">
        <v>1</v>
      </c>
      <c r="E175" s="51" t="s">
        <v>232</v>
      </c>
      <c r="F175" s="63" t="s">
        <v>104</v>
      </c>
      <c r="G175" s="51" t="s">
        <v>63</v>
      </c>
      <c r="H175" s="51" t="s">
        <v>396</v>
      </c>
      <c r="I175" s="54" t="s">
        <v>417</v>
      </c>
      <c r="J175" s="58"/>
      <c r="K175" s="69" t="s">
        <v>418</v>
      </c>
      <c r="L175" s="70"/>
      <c r="M175" s="70"/>
      <c r="N175" s="80"/>
      <c r="O175" s="95"/>
      <c r="P175" s="96"/>
      <c r="Q175" s="77" t="str">
        <f t="shared" si="39"/>
        <v/>
      </c>
      <c r="R175" s="81" t="str">
        <f t="shared" si="40"/>
        <v/>
      </c>
      <c r="S175" s="5"/>
      <c r="T175" s="10"/>
      <c r="U175" s="10"/>
      <c r="V175" s="10"/>
      <c r="W175" s="82">
        <f t="shared" si="41"/>
        <v>1</v>
      </c>
    </row>
    <row r="176" spans="3:23" ht="21">
      <c r="C176" s="53" t="s">
        <v>419</v>
      </c>
      <c r="D176" s="51">
        <v>1</v>
      </c>
      <c r="E176" s="51" t="s">
        <v>232</v>
      </c>
      <c r="F176" s="63" t="s">
        <v>104</v>
      </c>
      <c r="G176" s="51" t="s">
        <v>63</v>
      </c>
      <c r="H176" s="51" t="s">
        <v>396</v>
      </c>
      <c r="I176" s="54" t="s">
        <v>420</v>
      </c>
      <c r="J176" s="58"/>
      <c r="K176" s="69"/>
      <c r="L176" s="70"/>
      <c r="M176" s="70"/>
      <c r="N176" s="80"/>
      <c r="O176" s="95"/>
      <c r="P176" s="96"/>
      <c r="Q176" s="77" t="str">
        <f t="shared" si="39"/>
        <v/>
      </c>
      <c r="R176" s="81" t="str">
        <f t="shared" si="40"/>
        <v/>
      </c>
      <c r="S176" s="5"/>
      <c r="T176" s="10"/>
      <c r="U176" s="10"/>
      <c r="V176" s="10"/>
      <c r="W176" s="82">
        <f t="shared" si="41"/>
        <v>1</v>
      </c>
    </row>
    <row r="177" spans="3:23" ht="21">
      <c r="C177" s="53" t="s">
        <v>421</v>
      </c>
      <c r="D177" s="51">
        <v>1</v>
      </c>
      <c r="E177" s="51" t="s">
        <v>232</v>
      </c>
      <c r="F177" s="63" t="s">
        <v>104</v>
      </c>
      <c r="G177" s="51" t="s">
        <v>63</v>
      </c>
      <c r="H177" s="51" t="s">
        <v>396</v>
      </c>
      <c r="I177" s="54" t="s">
        <v>422</v>
      </c>
      <c r="J177" s="58"/>
      <c r="K177" s="69" t="s">
        <v>423</v>
      </c>
      <c r="L177" s="70"/>
      <c r="M177" s="70"/>
      <c r="N177" s="80"/>
      <c r="O177" s="95"/>
      <c r="P177" s="96"/>
      <c r="Q177" s="77" t="str">
        <f t="shared" si="39"/>
        <v/>
      </c>
      <c r="R177" s="81" t="str">
        <f t="shared" si="40"/>
        <v/>
      </c>
      <c r="S177" s="5"/>
      <c r="T177" s="10"/>
      <c r="U177" s="10"/>
      <c r="V177" s="10"/>
      <c r="W177" s="82">
        <f t="shared" si="41"/>
        <v>1</v>
      </c>
    </row>
    <row r="178" spans="3:23" ht="21">
      <c r="C178" s="53" t="s">
        <v>424</v>
      </c>
      <c r="D178" s="51">
        <v>1</v>
      </c>
      <c r="E178" s="51" t="s">
        <v>232</v>
      </c>
      <c r="F178" s="63" t="s">
        <v>104</v>
      </c>
      <c r="G178" s="51" t="s">
        <v>63</v>
      </c>
      <c r="H178" s="51" t="s">
        <v>396</v>
      </c>
      <c r="I178" s="54" t="s">
        <v>425</v>
      </c>
      <c r="J178" s="58"/>
      <c r="K178" s="69" t="s">
        <v>426</v>
      </c>
      <c r="L178" s="70"/>
      <c r="M178" s="70"/>
      <c r="N178" s="80"/>
      <c r="O178" s="95"/>
      <c r="P178" s="96"/>
      <c r="Q178" s="77" t="str">
        <f t="shared" si="39"/>
        <v/>
      </c>
      <c r="R178" s="81" t="str">
        <f t="shared" si="40"/>
        <v/>
      </c>
      <c r="S178" s="5"/>
      <c r="T178" s="10"/>
      <c r="U178" s="10"/>
      <c r="V178" s="10"/>
      <c r="W178" s="82">
        <f t="shared" si="41"/>
        <v>1</v>
      </c>
    </row>
    <row r="179" spans="3:23" ht="15.6">
      <c r="C179" s="104"/>
      <c r="D179" s="105"/>
      <c r="E179" s="104"/>
      <c r="F179" s="104"/>
      <c r="G179" s="104"/>
      <c r="H179" s="104"/>
      <c r="I179" s="104"/>
      <c r="J179" s="104"/>
      <c r="K179" s="104"/>
      <c r="L179" s="104"/>
      <c r="M179" s="104"/>
      <c r="N179" s="67"/>
      <c r="O179" s="5"/>
      <c r="P179" s="5"/>
      <c r="Q179" s="5"/>
      <c r="R179" s="84" t="str">
        <f>IF(SUM(R167:R178)=0,"-",IFERROR(SUM(R167:R178),""))</f>
        <v>-</v>
      </c>
      <c r="S179" s="5"/>
      <c r="T179" s="10"/>
      <c r="U179" s="10"/>
      <c r="V179" s="10"/>
      <c r="W179" s="10"/>
    </row>
    <row r="180" spans="3:23" ht="15.6">
      <c r="C180" s="104"/>
      <c r="D180" s="105"/>
      <c r="E180" s="104"/>
      <c r="F180" s="104"/>
      <c r="G180" s="104"/>
      <c r="H180" s="104"/>
      <c r="I180" s="104"/>
      <c r="J180" s="104"/>
      <c r="K180" s="104"/>
      <c r="L180" s="104"/>
      <c r="M180" s="104"/>
      <c r="N180" s="67"/>
      <c r="O180" s="93" t="str">
        <f>IF(O167="N/A",IF(O168="N/A",IF(O169="N/A",IF(O170="N/A",IF(O171="N/A",IF(O172="N/A",IF(O173="N/A",IF(O174="N/A",IF(O175="N/A",IF(O176="N/A",IF(O177="N/A",IF(O178="N/A","N/A","-"),"-"),"-"),"-"),"-"),"-"),"-"),"-"),"-"),"-"),"-"),"-")</f>
        <v>-</v>
      </c>
      <c r="P180" s="94" t="str">
        <f>IF(O180="N/A","N/A",$R180)</f>
        <v>-</v>
      </c>
      <c r="Q180" s="90"/>
      <c r="R180" s="84" t="str">
        <f>IF(R179="-","-",IFERROR(($P167*W167+$P168*W168+$P169*W169+$P170*W170+$P171*W171+$P172*W172+$P173*W173+$P174*W174+$P175*W175+$P176*W176+$P177*W177+$P178*W178)/(SUM(W167:W178)),""))</f>
        <v>-</v>
      </c>
      <c r="S180" s="5"/>
      <c r="T180" s="10"/>
      <c r="U180" s="10"/>
      <c r="V180" s="10"/>
      <c r="W180" s="10"/>
    </row>
    <row r="181" spans="3:23" ht="3.75" customHeight="1">
      <c r="C181" s="55"/>
      <c r="D181" s="85"/>
      <c r="E181" s="55"/>
      <c r="F181" s="55"/>
      <c r="G181" s="55"/>
      <c r="H181" s="55"/>
      <c r="I181" s="55"/>
      <c r="J181" s="55"/>
      <c r="K181" s="55"/>
      <c r="L181" s="55"/>
      <c r="M181" s="55"/>
      <c r="N181" s="67"/>
      <c r="O181" s="5"/>
      <c r="P181" s="5"/>
      <c r="Q181" s="5"/>
      <c r="R181" s="5"/>
      <c r="S181" s="5"/>
    </row>
    <row r="182" spans="3:23" ht="13.5" customHeight="1">
      <c r="C182" s="60" t="s">
        <v>32</v>
      </c>
      <c r="D182" s="60" t="s">
        <v>33</v>
      </c>
      <c r="E182" s="60" t="s">
        <v>34</v>
      </c>
      <c r="F182" s="60" t="s">
        <v>179</v>
      </c>
      <c r="G182" s="60" t="s">
        <v>36</v>
      </c>
      <c r="H182" s="60" t="s">
        <v>37</v>
      </c>
      <c r="I182" s="60" t="s">
        <v>38</v>
      </c>
      <c r="J182" s="56"/>
      <c r="K182" s="109" t="s">
        <v>39</v>
      </c>
      <c r="L182" s="110"/>
      <c r="M182" s="111"/>
      <c r="N182" s="67"/>
      <c r="O182" s="112" t="s">
        <v>40</v>
      </c>
      <c r="P182" s="113"/>
      <c r="Q182" s="114"/>
      <c r="R182" s="55"/>
      <c r="S182" s="5"/>
    </row>
    <row r="183" spans="3:23" ht="3" customHeight="1">
      <c r="C183" s="56"/>
      <c r="D183" s="87"/>
      <c r="E183" s="56"/>
      <c r="F183" s="56"/>
      <c r="G183" s="56"/>
      <c r="H183" s="56"/>
      <c r="I183" s="56"/>
      <c r="J183" s="56"/>
      <c r="K183" s="58"/>
      <c r="L183" s="58"/>
      <c r="M183" s="58"/>
      <c r="N183" s="80"/>
      <c r="R183" s="58"/>
    </row>
    <row r="184" spans="3:23" ht="14.25" customHeight="1">
      <c r="C184" s="55"/>
      <c r="D184" s="51">
        <v>5</v>
      </c>
      <c r="E184" s="55"/>
      <c r="F184" s="55"/>
      <c r="G184" s="55"/>
      <c r="H184" s="55"/>
      <c r="I184" s="61" t="s">
        <v>427</v>
      </c>
      <c r="J184" s="55"/>
      <c r="K184" s="60" t="s">
        <v>42</v>
      </c>
      <c r="L184" s="60" t="s">
        <v>43</v>
      </c>
      <c r="M184" s="60" t="s">
        <v>44</v>
      </c>
      <c r="N184" s="67"/>
      <c r="O184" s="7" t="s">
        <v>45</v>
      </c>
      <c r="P184" s="7" t="s">
        <v>46</v>
      </c>
      <c r="Q184" s="7" t="s">
        <v>47</v>
      </c>
      <c r="R184" s="60" t="s">
        <v>48</v>
      </c>
      <c r="S184" s="5"/>
    </row>
    <row r="185" spans="3:23" ht="3.75" customHeight="1">
      <c r="C185" s="55"/>
      <c r="D185" s="85"/>
      <c r="E185" s="55"/>
      <c r="F185" s="55"/>
      <c r="G185" s="55"/>
      <c r="H185" s="55"/>
      <c r="I185" s="55"/>
      <c r="J185" s="55"/>
      <c r="K185" s="55"/>
      <c r="L185" s="55"/>
      <c r="M185" s="55"/>
      <c r="N185" s="67"/>
      <c r="O185" s="5"/>
      <c r="P185" s="5"/>
      <c r="Q185" s="5"/>
      <c r="R185" s="5"/>
      <c r="S185" s="5"/>
    </row>
    <row r="186" spans="3:23" ht="14.25" customHeight="1">
      <c r="C186" s="55"/>
      <c r="D186" s="86">
        <v>5</v>
      </c>
      <c r="E186" s="56"/>
      <c r="F186" s="56"/>
      <c r="G186" s="56"/>
      <c r="H186" s="56"/>
      <c r="I186" s="57" t="s">
        <v>428</v>
      </c>
      <c r="J186" s="58"/>
      <c r="K186" s="55"/>
      <c r="L186" s="55"/>
      <c r="M186" s="55"/>
      <c r="N186" s="67"/>
      <c r="O186" s="5"/>
      <c r="P186" s="5"/>
      <c r="Q186" s="5"/>
      <c r="R186" s="11"/>
      <c r="S186" s="5"/>
      <c r="W186" s="7" t="s">
        <v>48</v>
      </c>
    </row>
    <row r="187" spans="3:23" ht="21">
      <c r="C187" s="53" t="s">
        <v>429</v>
      </c>
      <c r="D187" s="51">
        <v>4</v>
      </c>
      <c r="E187" s="51" t="s">
        <v>51</v>
      </c>
      <c r="F187" s="51" t="s">
        <v>52</v>
      </c>
      <c r="G187" s="51" t="s">
        <v>430</v>
      </c>
      <c r="H187" s="51" t="s">
        <v>431</v>
      </c>
      <c r="I187" s="54" t="s">
        <v>432</v>
      </c>
      <c r="J187" s="58"/>
      <c r="K187" s="69" t="s">
        <v>433</v>
      </c>
      <c r="L187" s="70"/>
      <c r="M187" s="70"/>
      <c r="N187" s="80"/>
      <c r="O187" s="95"/>
      <c r="P187" s="96"/>
      <c r="Q187" s="77" t="str">
        <f t="shared" ref="Q187:Q192" si="42">IF($O187="N/A","",IF($P187="","",IF($P187&gt;=85%,"C","NC")))</f>
        <v/>
      </c>
      <c r="R187" s="81" t="str">
        <f t="shared" ref="R187:R196" si="43">IF($O187="N/A","",IF($P187="","",$P187*$W187))</f>
        <v/>
      </c>
      <c r="S187" s="5"/>
      <c r="T187" s="10"/>
      <c r="U187" s="10"/>
      <c r="V187" s="10"/>
      <c r="W187" s="82">
        <f t="shared" ref="W187" si="44">IF(O187="N/A",0,D187)</f>
        <v>4</v>
      </c>
    </row>
    <row r="188" spans="3:23" ht="21">
      <c r="C188" s="53" t="s">
        <v>434</v>
      </c>
      <c r="D188" s="51">
        <v>4</v>
      </c>
      <c r="E188" s="51" t="s">
        <v>51</v>
      </c>
      <c r="F188" s="51" t="s">
        <v>52</v>
      </c>
      <c r="G188" s="51" t="s">
        <v>430</v>
      </c>
      <c r="H188" s="51" t="s">
        <v>435</v>
      </c>
      <c r="I188" s="54" t="s">
        <v>436</v>
      </c>
      <c r="J188" s="58"/>
      <c r="K188" s="69" t="s">
        <v>437</v>
      </c>
      <c r="L188" s="70"/>
      <c r="M188" s="70"/>
      <c r="N188" s="80"/>
      <c r="O188" s="95"/>
      <c r="P188" s="96"/>
      <c r="Q188" s="77" t="str">
        <f t="shared" si="42"/>
        <v/>
      </c>
      <c r="R188" s="81" t="str">
        <f t="shared" si="43"/>
        <v/>
      </c>
      <c r="S188" s="5"/>
      <c r="T188" s="10"/>
      <c r="U188" s="10"/>
      <c r="V188" s="10"/>
      <c r="W188" s="82">
        <f t="shared" ref="W188:W196" si="45">IF(O188="N/A",0,D188)</f>
        <v>4</v>
      </c>
    </row>
    <row r="189" spans="3:23" ht="31.5">
      <c r="C189" s="53" t="s">
        <v>438</v>
      </c>
      <c r="D189" s="51">
        <v>4</v>
      </c>
      <c r="E189" s="51" t="s">
        <v>143</v>
      </c>
      <c r="F189" s="51" t="s">
        <v>52</v>
      </c>
      <c r="G189" s="51" t="s">
        <v>430</v>
      </c>
      <c r="H189" s="51" t="s">
        <v>439</v>
      </c>
      <c r="I189" s="54" t="s">
        <v>440</v>
      </c>
      <c r="J189" s="58"/>
      <c r="K189" s="69" t="s">
        <v>437</v>
      </c>
      <c r="L189" s="70"/>
      <c r="M189" s="70"/>
      <c r="N189" s="80"/>
      <c r="O189" s="95"/>
      <c r="P189" s="96"/>
      <c r="Q189" s="77" t="str">
        <f t="shared" si="42"/>
        <v/>
      </c>
      <c r="R189" s="81" t="str">
        <f t="shared" si="43"/>
        <v/>
      </c>
      <c r="S189" s="5"/>
      <c r="T189" s="10"/>
      <c r="U189" s="10"/>
      <c r="V189" s="10"/>
      <c r="W189" s="82">
        <f t="shared" si="45"/>
        <v>4</v>
      </c>
    </row>
    <row r="190" spans="3:23" ht="31.5">
      <c r="C190" s="53" t="s">
        <v>441</v>
      </c>
      <c r="D190" s="51">
        <v>4</v>
      </c>
      <c r="E190" s="51" t="s">
        <v>232</v>
      </c>
      <c r="F190" s="51" t="s">
        <v>52</v>
      </c>
      <c r="G190" s="51" t="s">
        <v>430</v>
      </c>
      <c r="H190" s="51" t="s">
        <v>439</v>
      </c>
      <c r="I190" s="54" t="s">
        <v>442</v>
      </c>
      <c r="J190" s="58"/>
      <c r="K190" s="69" t="s">
        <v>437</v>
      </c>
      <c r="L190" s="70"/>
      <c r="M190" s="70"/>
      <c r="N190" s="80"/>
      <c r="O190" s="95"/>
      <c r="P190" s="96"/>
      <c r="Q190" s="77" t="str">
        <f t="shared" si="42"/>
        <v/>
      </c>
      <c r="R190" s="81" t="str">
        <f t="shared" si="43"/>
        <v/>
      </c>
      <c r="S190" s="5"/>
      <c r="T190" s="10"/>
      <c r="U190" s="10"/>
      <c r="V190" s="10"/>
      <c r="W190" s="82">
        <f t="shared" si="45"/>
        <v>4</v>
      </c>
    </row>
    <row r="191" spans="3:23" ht="42">
      <c r="C191" s="53" t="s">
        <v>443</v>
      </c>
      <c r="D191" s="51">
        <v>4</v>
      </c>
      <c r="E191" s="51" t="s">
        <v>51</v>
      </c>
      <c r="F191" s="51" t="s">
        <v>52</v>
      </c>
      <c r="G191" s="51" t="s">
        <v>430</v>
      </c>
      <c r="H191" s="51" t="s">
        <v>444</v>
      </c>
      <c r="I191" s="54" t="s">
        <v>445</v>
      </c>
      <c r="J191" s="58"/>
      <c r="K191" s="69" t="s">
        <v>446</v>
      </c>
      <c r="L191" s="70"/>
      <c r="M191" s="70"/>
      <c r="N191" s="80"/>
      <c r="O191" s="95"/>
      <c r="P191" s="96"/>
      <c r="Q191" s="77" t="str">
        <f t="shared" si="42"/>
        <v/>
      </c>
      <c r="R191" s="81" t="str">
        <f t="shared" si="43"/>
        <v/>
      </c>
      <c r="S191" s="5"/>
      <c r="T191" s="10"/>
      <c r="U191" s="10"/>
      <c r="V191" s="10"/>
      <c r="W191" s="82">
        <f t="shared" si="45"/>
        <v>4</v>
      </c>
    </row>
    <row r="192" spans="3:23" ht="63">
      <c r="C192" s="53" t="s">
        <v>447</v>
      </c>
      <c r="D192" s="51">
        <v>4</v>
      </c>
      <c r="E192" s="51" t="s">
        <v>51</v>
      </c>
      <c r="F192" s="51" t="s">
        <v>52</v>
      </c>
      <c r="G192" s="51" t="s">
        <v>448</v>
      </c>
      <c r="H192" s="51" t="s">
        <v>449</v>
      </c>
      <c r="I192" s="54" t="s">
        <v>450</v>
      </c>
      <c r="J192" s="58"/>
      <c r="K192" s="69" t="s">
        <v>451</v>
      </c>
      <c r="L192" s="70"/>
      <c r="M192" s="70"/>
      <c r="N192" s="80"/>
      <c r="O192" s="95"/>
      <c r="P192" s="96"/>
      <c r="Q192" s="77" t="str">
        <f t="shared" si="42"/>
        <v/>
      </c>
      <c r="R192" s="81" t="str">
        <f t="shared" si="43"/>
        <v/>
      </c>
      <c r="S192" s="5"/>
      <c r="T192" s="10"/>
      <c r="U192" s="10"/>
      <c r="V192" s="10"/>
      <c r="W192" s="82">
        <f t="shared" si="45"/>
        <v>4</v>
      </c>
    </row>
    <row r="193" spans="3:23" ht="128.25" customHeight="1">
      <c r="C193" s="53" t="s">
        <v>452</v>
      </c>
      <c r="D193" s="51">
        <v>3</v>
      </c>
      <c r="E193" s="51" t="s">
        <v>51</v>
      </c>
      <c r="F193" s="51" t="s">
        <v>52</v>
      </c>
      <c r="G193" s="51" t="s">
        <v>453</v>
      </c>
      <c r="H193" s="51" t="s">
        <v>454</v>
      </c>
      <c r="I193" s="54" t="s">
        <v>455</v>
      </c>
      <c r="J193" s="58"/>
      <c r="K193" s="69" t="s">
        <v>456</v>
      </c>
      <c r="L193" s="70"/>
      <c r="M193" s="70"/>
      <c r="N193" s="80"/>
      <c r="O193" s="95"/>
      <c r="P193" s="96"/>
      <c r="Q193" s="77" t="str">
        <f t="shared" ref="Q193:Q196" si="46">IF($O193="N/A","",IF($P193="","",IF($P193&gt;=85%,"C","NC")))</f>
        <v/>
      </c>
      <c r="R193" s="81" t="str">
        <f t="shared" si="43"/>
        <v/>
      </c>
      <c r="S193" s="5"/>
      <c r="T193" s="10"/>
      <c r="U193" s="10"/>
      <c r="V193" s="10"/>
      <c r="W193" s="82">
        <f t="shared" si="45"/>
        <v>3</v>
      </c>
    </row>
    <row r="194" spans="3:23" ht="31.5">
      <c r="C194" s="53" t="s">
        <v>457</v>
      </c>
      <c r="D194" s="51">
        <v>5</v>
      </c>
      <c r="E194" s="51" t="s">
        <v>143</v>
      </c>
      <c r="F194" s="51" t="s">
        <v>52</v>
      </c>
      <c r="G194" s="51" t="s">
        <v>453</v>
      </c>
      <c r="H194" s="51" t="s">
        <v>273</v>
      </c>
      <c r="I194" s="54" t="s">
        <v>458</v>
      </c>
      <c r="J194" s="58"/>
      <c r="K194" s="69" t="s">
        <v>459</v>
      </c>
      <c r="L194" s="70"/>
      <c r="M194" s="70"/>
      <c r="N194" s="80"/>
      <c r="O194" s="95"/>
      <c r="P194" s="96"/>
      <c r="Q194" s="77" t="str">
        <f t="shared" si="46"/>
        <v/>
      </c>
      <c r="R194" s="81" t="str">
        <f t="shared" si="43"/>
        <v/>
      </c>
      <c r="S194" s="5"/>
      <c r="T194" s="10"/>
      <c r="U194" s="10"/>
      <c r="V194" s="10"/>
      <c r="W194" s="82">
        <f t="shared" si="45"/>
        <v>5</v>
      </c>
    </row>
    <row r="195" spans="3:23" ht="92.25" customHeight="1">
      <c r="C195" s="53" t="s">
        <v>460</v>
      </c>
      <c r="D195" s="51">
        <v>2</v>
      </c>
      <c r="E195" s="51" t="s">
        <v>51</v>
      </c>
      <c r="F195" s="51" t="s">
        <v>52</v>
      </c>
      <c r="G195" s="51" t="s">
        <v>63</v>
      </c>
      <c r="H195" s="51" t="s">
        <v>461</v>
      </c>
      <c r="I195" s="54" t="s">
        <v>462</v>
      </c>
      <c r="J195" s="58"/>
      <c r="K195" s="69" t="s">
        <v>463</v>
      </c>
      <c r="L195" s="70"/>
      <c r="M195" s="70"/>
      <c r="N195" s="80"/>
      <c r="O195" s="95"/>
      <c r="P195" s="96"/>
      <c r="Q195" s="77" t="str">
        <f t="shared" si="46"/>
        <v/>
      </c>
      <c r="R195" s="81" t="str">
        <f t="shared" si="43"/>
        <v/>
      </c>
      <c r="S195" s="5"/>
      <c r="T195" s="10"/>
      <c r="U195" s="10"/>
      <c r="V195" s="10"/>
      <c r="W195" s="82">
        <f t="shared" si="45"/>
        <v>2</v>
      </c>
    </row>
    <row r="196" spans="3:23" ht="97.5" customHeight="1">
      <c r="C196" s="53" t="s">
        <v>464</v>
      </c>
      <c r="D196" s="51">
        <v>2</v>
      </c>
      <c r="E196" s="51" t="s">
        <v>143</v>
      </c>
      <c r="F196" s="51" t="s">
        <v>52</v>
      </c>
      <c r="G196" s="51" t="s">
        <v>63</v>
      </c>
      <c r="H196" s="51" t="s">
        <v>465</v>
      </c>
      <c r="I196" s="54" t="s">
        <v>466</v>
      </c>
      <c r="J196" s="58"/>
      <c r="K196" s="69" t="s">
        <v>467</v>
      </c>
      <c r="L196" s="70"/>
      <c r="M196" s="70"/>
      <c r="N196" s="80"/>
      <c r="O196" s="95"/>
      <c r="P196" s="96"/>
      <c r="Q196" s="77" t="str">
        <f t="shared" si="46"/>
        <v/>
      </c>
      <c r="R196" s="81" t="str">
        <f t="shared" si="43"/>
        <v/>
      </c>
      <c r="S196" s="5"/>
      <c r="T196" s="10"/>
      <c r="U196" s="10"/>
      <c r="V196" s="10"/>
      <c r="W196" s="82">
        <f t="shared" si="45"/>
        <v>2</v>
      </c>
    </row>
    <row r="197" spans="3:23" ht="15.6">
      <c r="C197" s="104"/>
      <c r="D197" s="105"/>
      <c r="E197" s="104"/>
      <c r="F197" s="104"/>
      <c r="G197" s="104"/>
      <c r="H197" s="104"/>
      <c r="I197" s="104"/>
      <c r="J197" s="104"/>
      <c r="K197" s="104"/>
      <c r="L197" s="104"/>
      <c r="M197" s="104"/>
      <c r="N197" s="67"/>
      <c r="O197" s="5"/>
      <c r="P197" s="5"/>
      <c r="Q197" s="5"/>
      <c r="R197" s="84" t="str">
        <f>IF(SUM(R187:R196)=0,"-",IFERROR(SUM(R187:R196),""))</f>
        <v>-</v>
      </c>
      <c r="S197" s="5"/>
    </row>
    <row r="198" spans="3:23" ht="15.6">
      <c r="C198" s="104"/>
      <c r="D198" s="105"/>
      <c r="E198" s="104"/>
      <c r="F198" s="104"/>
      <c r="G198" s="104"/>
      <c r="H198" s="104"/>
      <c r="I198" s="104"/>
      <c r="J198" s="104"/>
      <c r="K198" s="104"/>
      <c r="L198" s="104"/>
      <c r="M198" s="104"/>
      <c r="N198" s="67"/>
      <c r="O198" s="93" t="str">
        <f>IF(O187="N/A",IF(O188="N/A",IF(O189="N/A",IF(O190="N/A",IF(O191="N/A",IF(O192="N/A",IF(O193="N/A",IF(O194="N/A",IF(O195="N/A",IF(O196="N/A","N/A","-"),"-"),"-"),"-"),"-"),"-"),"-"),"-"),"-"),"-")</f>
        <v>-</v>
      </c>
      <c r="P198" s="94" t="str">
        <f>IF(O198="N/A","N/A",$R198)</f>
        <v>-</v>
      </c>
      <c r="Q198" s="90"/>
      <c r="R198" s="84" t="str">
        <f>IF(R197="-","-",IFERROR(($P187*W187+$P188*W188+$P189*W189+$P190*W190+$P191*W191+$P192*W192+$P193*W193+$P194*W194+$P195*W195+$P196*W196)/(SUM(W187:W196)),""))</f>
        <v>-</v>
      </c>
      <c r="S198" s="5"/>
    </row>
    <row r="199" spans="3:23" ht="3.75" customHeight="1">
      <c r="C199" s="55"/>
      <c r="D199" s="85"/>
      <c r="E199" s="55"/>
      <c r="F199" s="55"/>
      <c r="G199" s="55"/>
      <c r="H199" s="55"/>
      <c r="I199" s="55"/>
      <c r="J199" s="55"/>
      <c r="K199" s="55"/>
      <c r="L199" s="55"/>
      <c r="M199" s="55"/>
      <c r="N199" s="67"/>
      <c r="O199" s="5"/>
      <c r="P199" s="5"/>
      <c r="Q199" s="5"/>
      <c r="R199" s="5"/>
      <c r="S199" s="5"/>
    </row>
    <row r="200" spans="3:23" ht="14.25" customHeight="1">
      <c r="C200" s="55"/>
      <c r="D200" s="86">
        <v>3</v>
      </c>
      <c r="E200" s="56"/>
      <c r="F200" s="56"/>
      <c r="G200" s="56"/>
      <c r="H200" s="56"/>
      <c r="I200" s="57" t="s">
        <v>468</v>
      </c>
      <c r="J200" s="58"/>
      <c r="K200" s="55"/>
      <c r="L200" s="55"/>
      <c r="M200" s="55"/>
      <c r="N200" s="67"/>
      <c r="R200" s="47"/>
      <c r="S200" s="10"/>
      <c r="T200" s="10"/>
      <c r="U200" s="10"/>
      <c r="V200" s="10"/>
      <c r="W200" s="7" t="s">
        <v>48</v>
      </c>
    </row>
    <row r="201" spans="3:23" ht="31.5">
      <c r="C201" s="53" t="s">
        <v>469</v>
      </c>
      <c r="D201" s="51">
        <v>5</v>
      </c>
      <c r="E201" s="51" t="s">
        <v>51</v>
      </c>
      <c r="F201" s="51" t="s">
        <v>52</v>
      </c>
      <c r="G201" s="51" t="s">
        <v>247</v>
      </c>
      <c r="H201" s="59" t="s">
        <v>470</v>
      </c>
      <c r="I201" s="54" t="s">
        <v>432</v>
      </c>
      <c r="J201" s="58"/>
      <c r="K201" s="69" t="s">
        <v>471</v>
      </c>
      <c r="L201" s="70"/>
      <c r="M201" s="70"/>
      <c r="N201" s="80"/>
      <c r="O201" s="95"/>
      <c r="P201" s="96"/>
      <c r="Q201" s="77" t="str">
        <f t="shared" ref="Q201:Q207" si="47">IF($O201="N/A","",IF($P201="","",IF($P201&gt;=85%,"C","NC")))</f>
        <v/>
      </c>
      <c r="R201" s="81" t="str">
        <f t="shared" ref="R201:R207" si="48">IF($O201="N/A","",IF($P201="","",$P201*$W201))</f>
        <v/>
      </c>
      <c r="S201" s="5"/>
      <c r="T201" s="10"/>
      <c r="U201" s="10"/>
      <c r="V201" s="10"/>
      <c r="W201" s="82">
        <f t="shared" ref="W201:W207" si="49">IF(O201="N/A",0,D201)</f>
        <v>5</v>
      </c>
    </row>
    <row r="202" spans="3:23" ht="42">
      <c r="C202" s="53" t="s">
        <v>472</v>
      </c>
      <c r="D202" s="51">
        <v>3</v>
      </c>
      <c r="E202" s="51" t="s">
        <v>143</v>
      </c>
      <c r="F202" s="51" t="s">
        <v>52</v>
      </c>
      <c r="G202" s="51" t="s">
        <v>252</v>
      </c>
      <c r="H202" s="51" t="s">
        <v>473</v>
      </c>
      <c r="I202" s="54" t="s">
        <v>474</v>
      </c>
      <c r="J202" s="58"/>
      <c r="K202" s="69" t="s">
        <v>475</v>
      </c>
      <c r="L202" s="70"/>
      <c r="M202" s="70"/>
      <c r="N202" s="80"/>
      <c r="O202" s="95"/>
      <c r="P202" s="96"/>
      <c r="Q202" s="77" t="str">
        <f t="shared" si="47"/>
        <v/>
      </c>
      <c r="R202" s="81" t="str">
        <f t="shared" si="48"/>
        <v/>
      </c>
      <c r="S202" s="5"/>
      <c r="T202" s="10"/>
      <c r="U202" s="10"/>
      <c r="V202" s="10"/>
      <c r="W202" s="82">
        <f t="shared" si="49"/>
        <v>3</v>
      </c>
    </row>
    <row r="203" spans="3:23" ht="51" customHeight="1">
      <c r="C203" s="53" t="s">
        <v>476</v>
      </c>
      <c r="D203" s="51">
        <v>5</v>
      </c>
      <c r="E203" s="51" t="s">
        <v>143</v>
      </c>
      <c r="F203" s="51" t="s">
        <v>52</v>
      </c>
      <c r="G203" s="51" t="s">
        <v>247</v>
      </c>
      <c r="H203" s="59" t="s">
        <v>265</v>
      </c>
      <c r="I203" s="54" t="s">
        <v>450</v>
      </c>
      <c r="J203" s="58"/>
      <c r="K203" s="69" t="s">
        <v>477</v>
      </c>
      <c r="L203" s="70"/>
      <c r="M203" s="70"/>
      <c r="N203" s="80"/>
      <c r="O203" s="95"/>
      <c r="P203" s="96"/>
      <c r="Q203" s="77" t="str">
        <f t="shared" si="47"/>
        <v/>
      </c>
      <c r="R203" s="81" t="str">
        <f t="shared" si="48"/>
        <v/>
      </c>
      <c r="S203" s="5"/>
      <c r="T203" s="10"/>
      <c r="U203" s="10"/>
      <c r="V203" s="10"/>
      <c r="W203" s="82">
        <f t="shared" si="49"/>
        <v>5</v>
      </c>
    </row>
    <row r="204" spans="3:23" ht="42">
      <c r="C204" s="53" t="s">
        <v>478</v>
      </c>
      <c r="D204" s="51">
        <v>3</v>
      </c>
      <c r="E204" s="51" t="s">
        <v>51</v>
      </c>
      <c r="F204" s="51" t="s">
        <v>52</v>
      </c>
      <c r="G204" s="51" t="s">
        <v>252</v>
      </c>
      <c r="H204" s="51" t="s">
        <v>454</v>
      </c>
      <c r="I204" s="54" t="s">
        <v>455</v>
      </c>
      <c r="J204" s="58"/>
      <c r="K204" s="69" t="s">
        <v>479</v>
      </c>
      <c r="L204" s="70"/>
      <c r="M204" s="70"/>
      <c r="N204" s="80"/>
      <c r="O204" s="95"/>
      <c r="P204" s="96"/>
      <c r="Q204" s="77" t="str">
        <f t="shared" si="47"/>
        <v/>
      </c>
      <c r="R204" s="81" t="str">
        <f t="shared" si="48"/>
        <v/>
      </c>
      <c r="S204" s="5"/>
      <c r="T204" s="10"/>
      <c r="U204" s="10"/>
      <c r="V204" s="10"/>
      <c r="W204" s="82">
        <f t="shared" si="49"/>
        <v>3</v>
      </c>
    </row>
    <row r="205" spans="3:23" ht="49.5" customHeight="1">
      <c r="C205" s="53" t="s">
        <v>480</v>
      </c>
      <c r="D205" s="51">
        <v>5</v>
      </c>
      <c r="E205" s="51" t="s">
        <v>143</v>
      </c>
      <c r="F205" s="51" t="s">
        <v>52</v>
      </c>
      <c r="G205" s="51" t="s">
        <v>247</v>
      </c>
      <c r="H205" s="59" t="s">
        <v>481</v>
      </c>
      <c r="I205" s="54" t="s">
        <v>482</v>
      </c>
      <c r="J205" s="58"/>
      <c r="K205" s="69" t="s">
        <v>483</v>
      </c>
      <c r="L205" s="70"/>
      <c r="M205" s="70"/>
      <c r="N205" s="80"/>
      <c r="O205" s="95"/>
      <c r="P205" s="96"/>
      <c r="Q205" s="77" t="str">
        <f t="shared" si="47"/>
        <v/>
      </c>
      <c r="R205" s="81" t="str">
        <f t="shared" si="48"/>
        <v/>
      </c>
      <c r="S205" s="5"/>
      <c r="T205" s="10"/>
      <c r="U205" s="10"/>
      <c r="V205" s="10"/>
      <c r="W205" s="82">
        <f t="shared" si="49"/>
        <v>5</v>
      </c>
    </row>
    <row r="206" spans="3:23" ht="56.25" customHeight="1">
      <c r="C206" s="53" t="s">
        <v>484</v>
      </c>
      <c r="D206" s="51">
        <v>3</v>
      </c>
      <c r="E206" s="51" t="s">
        <v>143</v>
      </c>
      <c r="F206" s="51" t="s">
        <v>52</v>
      </c>
      <c r="G206" s="51" t="s">
        <v>252</v>
      </c>
      <c r="H206" s="51" t="s">
        <v>481</v>
      </c>
      <c r="I206" s="54" t="s">
        <v>485</v>
      </c>
      <c r="J206" s="58"/>
      <c r="K206" s="69"/>
      <c r="L206" s="70"/>
      <c r="M206" s="70"/>
      <c r="N206" s="80"/>
      <c r="O206" s="95"/>
      <c r="P206" s="96"/>
      <c r="Q206" s="77" t="str">
        <f t="shared" si="47"/>
        <v/>
      </c>
      <c r="R206" s="81" t="str">
        <f t="shared" si="48"/>
        <v/>
      </c>
      <c r="S206" s="5"/>
      <c r="T206" s="10"/>
      <c r="U206" s="10"/>
      <c r="V206" s="10"/>
      <c r="W206" s="82">
        <f t="shared" si="49"/>
        <v>3</v>
      </c>
    </row>
    <row r="207" spans="3:23" ht="42">
      <c r="C207" s="53" t="s">
        <v>486</v>
      </c>
      <c r="D207" s="51">
        <v>3</v>
      </c>
      <c r="E207" s="51" t="s">
        <v>143</v>
      </c>
      <c r="F207" s="51" t="s">
        <v>52</v>
      </c>
      <c r="G207" s="51" t="s">
        <v>252</v>
      </c>
      <c r="H207" s="51" t="s">
        <v>273</v>
      </c>
      <c r="I207" s="54" t="s">
        <v>458</v>
      </c>
      <c r="J207" s="58"/>
      <c r="K207" s="69" t="s">
        <v>487</v>
      </c>
      <c r="L207" s="70"/>
      <c r="M207" s="70"/>
      <c r="N207" s="80"/>
      <c r="O207" s="95"/>
      <c r="P207" s="96"/>
      <c r="Q207" s="77" t="str">
        <f t="shared" si="47"/>
        <v/>
      </c>
      <c r="R207" s="81" t="str">
        <f t="shared" si="48"/>
        <v/>
      </c>
      <c r="S207" s="5"/>
      <c r="T207" s="10"/>
      <c r="U207" s="10"/>
      <c r="V207" s="10"/>
      <c r="W207" s="82">
        <f t="shared" si="49"/>
        <v>3</v>
      </c>
    </row>
    <row r="208" spans="3:23" ht="15.6">
      <c r="C208" s="104"/>
      <c r="D208" s="105"/>
      <c r="E208" s="104"/>
      <c r="F208" s="104"/>
      <c r="G208" s="104"/>
      <c r="H208" s="104"/>
      <c r="I208" s="104"/>
      <c r="J208" s="104"/>
      <c r="K208" s="104"/>
      <c r="L208" s="104"/>
      <c r="M208" s="104"/>
      <c r="N208" s="67"/>
      <c r="O208" s="5"/>
      <c r="P208" s="5"/>
      <c r="Q208" s="5"/>
      <c r="R208" s="84" t="str">
        <f>IF(SUM(R205:R207)=0,"-",IFERROR(SUM(R205:R207),""))</f>
        <v>-</v>
      </c>
      <c r="S208" s="5"/>
      <c r="T208" s="10"/>
      <c r="U208" s="10"/>
      <c r="V208" s="10"/>
      <c r="W208" s="10"/>
    </row>
    <row r="209" spans="3:23" ht="15.6">
      <c r="C209" s="104"/>
      <c r="D209" s="105"/>
      <c r="E209" s="104"/>
      <c r="F209" s="104"/>
      <c r="G209" s="104"/>
      <c r="H209" s="104"/>
      <c r="I209" s="104"/>
      <c r="J209" s="104"/>
      <c r="K209" s="104"/>
      <c r="L209" s="104"/>
      <c r="M209" s="104"/>
      <c r="N209" s="67"/>
      <c r="O209" s="93" t="str">
        <f>IF(O201="N/A",IF(O202="N/A",IF(O203="N/A",IF(O204="N/A",IF(O205="N/A",IF(O206="N/A",IF(O207="N/A","N/A","-"),"-"),"-"),"-"),"-"),"-"),"-")</f>
        <v>-</v>
      </c>
      <c r="P209" s="94" t="str">
        <f>IF(O209="N/A","N/A",$R209)</f>
        <v>-</v>
      </c>
      <c r="Q209" s="90"/>
      <c r="R209" s="84" t="str">
        <f>IF(R208="-","-",IFERROR(($P201*W201+$P202*W202+$P203*W203+$P204*W204+$P205*W205+$P206*W206+$P207*W207)/(SUM(W201:W207)),""))</f>
        <v>-</v>
      </c>
      <c r="S209" s="5"/>
      <c r="T209" s="10"/>
      <c r="U209" s="10"/>
      <c r="V209" s="10"/>
      <c r="W209" s="10"/>
    </row>
    <row r="210" spans="3:23" ht="3.75" customHeight="1">
      <c r="C210" s="55"/>
      <c r="D210" s="85"/>
      <c r="E210" s="55"/>
      <c r="F210" s="55"/>
      <c r="G210" s="55"/>
      <c r="H210" s="55"/>
      <c r="I210" s="55"/>
      <c r="J210" s="55"/>
      <c r="K210" s="55"/>
      <c r="L210" s="55"/>
      <c r="M210" s="55"/>
      <c r="N210" s="67"/>
      <c r="O210" s="5"/>
      <c r="P210" s="5"/>
      <c r="Q210" s="5"/>
      <c r="R210" s="5"/>
      <c r="S210" s="5"/>
    </row>
    <row r="211" spans="3:23" ht="14.25" customHeight="1">
      <c r="C211" s="55"/>
      <c r="D211" s="86">
        <v>5</v>
      </c>
      <c r="E211" s="56"/>
      <c r="F211" s="56"/>
      <c r="G211" s="56"/>
      <c r="H211" s="56"/>
      <c r="I211" s="57" t="s">
        <v>488</v>
      </c>
      <c r="J211" s="58"/>
      <c r="K211" s="55"/>
      <c r="L211" s="55"/>
      <c r="M211" s="55"/>
      <c r="N211" s="67"/>
      <c r="O211" s="5"/>
      <c r="P211" s="5"/>
      <c r="Q211" s="5"/>
      <c r="R211" s="11"/>
      <c r="S211" s="5"/>
      <c r="T211" s="10"/>
      <c r="U211" s="10"/>
      <c r="V211" s="10"/>
      <c r="W211" s="7" t="s">
        <v>48</v>
      </c>
    </row>
    <row r="212" spans="3:23" ht="214.5" customHeight="1">
      <c r="C212" s="53" t="s">
        <v>489</v>
      </c>
      <c r="D212" s="51">
        <v>5</v>
      </c>
      <c r="E212" s="51" t="s">
        <v>51</v>
      </c>
      <c r="F212" s="51" t="s">
        <v>52</v>
      </c>
      <c r="G212" s="51" t="s">
        <v>135</v>
      </c>
      <c r="H212" s="59" t="s">
        <v>490</v>
      </c>
      <c r="I212" s="54" t="s">
        <v>432</v>
      </c>
      <c r="J212" s="58"/>
      <c r="K212" s="69" t="s">
        <v>491</v>
      </c>
      <c r="L212" s="70"/>
      <c r="M212" s="70"/>
      <c r="N212" s="80"/>
      <c r="O212" s="95"/>
      <c r="P212" s="96"/>
      <c r="Q212" s="77" t="str">
        <f t="shared" ref="Q212:Q216" si="50">IF($O212="N/A","",IF($P212="","",IF($P212&gt;=85%,"C","NC")))</f>
        <v/>
      </c>
      <c r="R212" s="81" t="str">
        <f t="shared" ref="R212:R216" si="51">IF($O212="N/A","",IF($P212="","",$P212*$W212))</f>
        <v/>
      </c>
      <c r="S212" s="5"/>
      <c r="T212" s="10"/>
      <c r="U212" s="10"/>
      <c r="V212" s="10"/>
      <c r="W212" s="82">
        <f t="shared" ref="W212:W216" si="52">IF(O212="N/A",0,D212)</f>
        <v>5</v>
      </c>
    </row>
    <row r="213" spans="3:23" ht="84">
      <c r="C213" s="53" t="s">
        <v>492</v>
      </c>
      <c r="D213" s="51">
        <v>5</v>
      </c>
      <c r="E213" s="51" t="s">
        <v>143</v>
      </c>
      <c r="F213" s="51" t="s">
        <v>493</v>
      </c>
      <c r="G213" s="51" t="s">
        <v>63</v>
      </c>
      <c r="H213" s="51" t="s">
        <v>473</v>
      </c>
      <c r="I213" s="54" t="s">
        <v>494</v>
      </c>
      <c r="J213" s="58"/>
      <c r="K213" s="69" t="s">
        <v>495</v>
      </c>
      <c r="L213" s="70"/>
      <c r="M213" s="70"/>
      <c r="N213" s="80"/>
      <c r="O213" s="95"/>
      <c r="P213" s="96"/>
      <c r="Q213" s="77" t="str">
        <f t="shared" si="50"/>
        <v/>
      </c>
      <c r="R213" s="81" t="str">
        <f t="shared" si="51"/>
        <v/>
      </c>
      <c r="S213" s="5"/>
      <c r="T213" s="10"/>
      <c r="U213" s="10"/>
      <c r="V213" s="10"/>
      <c r="W213" s="82">
        <f t="shared" si="52"/>
        <v>5</v>
      </c>
    </row>
    <row r="214" spans="3:23" ht="21">
      <c r="C214" s="53" t="s">
        <v>496</v>
      </c>
      <c r="D214" s="51">
        <v>4.5</v>
      </c>
      <c r="E214" s="51" t="s">
        <v>143</v>
      </c>
      <c r="F214" s="51" t="s">
        <v>493</v>
      </c>
      <c r="G214" s="51" t="s">
        <v>148</v>
      </c>
      <c r="H214" s="59" t="s">
        <v>265</v>
      </c>
      <c r="I214" s="54" t="s">
        <v>450</v>
      </c>
      <c r="J214" s="58"/>
      <c r="K214" s="69" t="s">
        <v>497</v>
      </c>
      <c r="L214" s="70"/>
      <c r="M214" s="70"/>
      <c r="N214" s="80"/>
      <c r="O214" s="95"/>
      <c r="P214" s="96"/>
      <c r="Q214" s="77" t="str">
        <f t="shared" si="50"/>
        <v/>
      </c>
      <c r="R214" s="81" t="str">
        <f t="shared" si="51"/>
        <v/>
      </c>
      <c r="S214" s="5"/>
      <c r="T214" s="10"/>
      <c r="U214" s="10"/>
      <c r="V214" s="10"/>
      <c r="W214" s="82">
        <f t="shared" si="52"/>
        <v>4.5</v>
      </c>
    </row>
    <row r="215" spans="3:23" ht="31.5">
      <c r="C215" s="53" t="s">
        <v>498</v>
      </c>
      <c r="D215" s="51">
        <v>4.5</v>
      </c>
      <c r="E215" s="51" t="s">
        <v>51</v>
      </c>
      <c r="F215" s="51" t="s">
        <v>52</v>
      </c>
      <c r="G215" s="51" t="s">
        <v>152</v>
      </c>
      <c r="H215" s="59" t="s">
        <v>454</v>
      </c>
      <c r="I215" s="54" t="s">
        <v>455</v>
      </c>
      <c r="J215" s="58"/>
      <c r="K215" s="69" t="s">
        <v>499</v>
      </c>
      <c r="L215" s="70"/>
      <c r="M215" s="70"/>
      <c r="N215" s="80"/>
      <c r="O215" s="95"/>
      <c r="P215" s="96"/>
      <c r="Q215" s="77" t="str">
        <f t="shared" si="50"/>
        <v/>
      </c>
      <c r="R215" s="81" t="str">
        <f t="shared" si="51"/>
        <v/>
      </c>
      <c r="S215" s="5"/>
      <c r="T215" s="10"/>
      <c r="U215" s="10"/>
      <c r="V215" s="10"/>
      <c r="W215" s="82">
        <f t="shared" si="52"/>
        <v>4.5</v>
      </c>
    </row>
    <row r="216" spans="3:23" ht="31.5">
      <c r="C216" s="53" t="s">
        <v>500</v>
      </c>
      <c r="D216" s="51">
        <v>5</v>
      </c>
      <c r="E216" s="51" t="s">
        <v>143</v>
      </c>
      <c r="F216" s="51" t="s">
        <v>52</v>
      </c>
      <c r="G216" s="51" t="s">
        <v>156</v>
      </c>
      <c r="H216" s="59" t="s">
        <v>273</v>
      </c>
      <c r="I216" s="54" t="s">
        <v>458</v>
      </c>
      <c r="J216" s="58"/>
      <c r="K216" s="69" t="s">
        <v>501</v>
      </c>
      <c r="L216" s="70"/>
      <c r="M216" s="70"/>
      <c r="N216" s="80"/>
      <c r="O216" s="95"/>
      <c r="P216" s="96"/>
      <c r="Q216" s="77" t="str">
        <f t="shared" si="50"/>
        <v/>
      </c>
      <c r="R216" s="81" t="str">
        <f t="shared" si="51"/>
        <v/>
      </c>
      <c r="S216" s="5"/>
      <c r="T216" s="10"/>
      <c r="U216" s="10"/>
      <c r="V216" s="10"/>
      <c r="W216" s="82">
        <f t="shared" si="52"/>
        <v>5</v>
      </c>
    </row>
    <row r="217" spans="3:23" ht="15.6">
      <c r="C217" s="104"/>
      <c r="D217" s="105"/>
      <c r="E217" s="104"/>
      <c r="F217" s="104"/>
      <c r="G217" s="104"/>
      <c r="H217" s="104"/>
      <c r="I217" s="104"/>
      <c r="J217" s="104"/>
      <c r="K217" s="104"/>
      <c r="L217" s="104"/>
      <c r="M217" s="104"/>
      <c r="N217" s="67"/>
      <c r="O217" s="5"/>
      <c r="P217" s="5"/>
      <c r="Q217" s="5"/>
      <c r="R217" s="84" t="str">
        <f>IF(SUM(R212:R216)=0,"-",IFERROR(SUM(R212:R216),""))</f>
        <v>-</v>
      </c>
      <c r="S217" s="5"/>
      <c r="T217" s="10"/>
      <c r="U217" s="10"/>
      <c r="V217" s="10"/>
      <c r="W217" s="10"/>
    </row>
    <row r="218" spans="3:23" ht="15.6">
      <c r="C218" s="104"/>
      <c r="D218" s="105"/>
      <c r="E218" s="104"/>
      <c r="F218" s="104"/>
      <c r="G218" s="104"/>
      <c r="H218" s="104"/>
      <c r="I218" s="104"/>
      <c r="J218" s="104"/>
      <c r="K218" s="104"/>
      <c r="L218" s="104"/>
      <c r="M218" s="104"/>
      <c r="N218" s="67"/>
      <c r="O218" s="93" t="str">
        <f>IF(O212="N/A",IF(O213="N/A",IF(O214="N/A",IF(O215="N/A",IF(O216="N/A","N/A","-"),"-"),"-"),"-"),"-")</f>
        <v>-</v>
      </c>
      <c r="P218" s="94" t="str">
        <f>IF(O218="N/A","N/A",$R218)</f>
        <v>-</v>
      </c>
      <c r="Q218" s="90"/>
      <c r="R218" s="84" t="str">
        <f>IF(R217="-","-",IFERROR(($P212*W212+$P213*W213+$P214*W214+$P215*W215+$P216*W216)/(SUM(W212:W216)),""))</f>
        <v>-</v>
      </c>
      <c r="S218" s="5"/>
      <c r="T218" s="10"/>
      <c r="U218" s="10"/>
      <c r="V218" s="10"/>
      <c r="W218" s="10"/>
    </row>
    <row r="219" spans="3:23" ht="3.75" customHeight="1">
      <c r="C219" s="55"/>
      <c r="D219" s="85"/>
      <c r="E219" s="55"/>
      <c r="F219" s="55"/>
      <c r="G219" s="55"/>
      <c r="H219" s="55"/>
      <c r="I219" s="55"/>
      <c r="J219" s="55"/>
      <c r="K219" s="55"/>
      <c r="L219" s="55"/>
      <c r="M219" s="55"/>
      <c r="N219" s="67"/>
      <c r="O219" s="5"/>
      <c r="P219" s="5"/>
      <c r="Q219" s="5"/>
      <c r="R219" s="5"/>
      <c r="S219" s="5"/>
    </row>
    <row r="220" spans="3:23" ht="14.25" customHeight="1">
      <c r="C220" s="55"/>
      <c r="D220" s="86">
        <v>3</v>
      </c>
      <c r="E220" s="56"/>
      <c r="F220" s="56"/>
      <c r="G220" s="56"/>
      <c r="H220" s="56"/>
      <c r="I220" s="57" t="s">
        <v>502</v>
      </c>
      <c r="J220" s="58"/>
      <c r="K220" s="55"/>
      <c r="L220" s="55"/>
      <c r="M220" s="55"/>
      <c r="N220" s="67"/>
      <c r="S220" s="5"/>
      <c r="T220" s="10"/>
      <c r="U220" s="10"/>
      <c r="V220" s="10"/>
      <c r="W220" s="7" t="s">
        <v>48</v>
      </c>
    </row>
    <row r="221" spans="3:23" ht="85.5" customHeight="1">
      <c r="C221" s="53" t="s">
        <v>503</v>
      </c>
      <c r="D221" s="51">
        <v>4.5</v>
      </c>
      <c r="E221" s="51" t="s">
        <v>51</v>
      </c>
      <c r="F221" s="63" t="s">
        <v>52</v>
      </c>
      <c r="G221" s="51" t="s">
        <v>63</v>
      </c>
      <c r="H221" s="51" t="s">
        <v>504</v>
      </c>
      <c r="I221" s="54" t="s">
        <v>505</v>
      </c>
      <c r="J221" s="58"/>
      <c r="K221" s="69" t="s">
        <v>506</v>
      </c>
      <c r="L221" s="70"/>
      <c r="M221" s="70"/>
      <c r="N221" s="80"/>
      <c r="O221" s="95"/>
      <c r="P221" s="96"/>
      <c r="Q221" s="77" t="str">
        <f>IF($O221="N/A","",IF($P221="","",IF($P221&gt;=85%,"C","NC")))</f>
        <v/>
      </c>
      <c r="R221" s="81" t="str">
        <f t="shared" ref="R221:R223" si="53">IF($O221="N/A","",IF($P221="","",$P221*$W221))</f>
        <v/>
      </c>
      <c r="S221" s="5"/>
      <c r="T221" s="10"/>
      <c r="U221" s="10"/>
      <c r="V221" s="10"/>
      <c r="W221" s="82">
        <f t="shared" ref="W221:W223" si="54">IF(O221="N/A",0,D221)</f>
        <v>4.5</v>
      </c>
    </row>
    <row r="222" spans="3:23" ht="132" customHeight="1">
      <c r="C222" s="53" t="s">
        <v>507</v>
      </c>
      <c r="D222" s="51">
        <v>4.5</v>
      </c>
      <c r="E222" s="51" t="s">
        <v>51</v>
      </c>
      <c r="F222" s="63" t="s">
        <v>508</v>
      </c>
      <c r="G222" s="51" t="s">
        <v>63</v>
      </c>
      <c r="H222" s="51" t="s">
        <v>509</v>
      </c>
      <c r="I222" s="54" t="s">
        <v>510</v>
      </c>
      <c r="J222" s="58"/>
      <c r="K222" s="69" t="s">
        <v>511</v>
      </c>
      <c r="L222" s="70"/>
      <c r="M222" s="70"/>
      <c r="N222" s="80"/>
      <c r="O222" s="95"/>
      <c r="P222" s="96"/>
      <c r="Q222" s="77" t="str">
        <f>IF($O222="N/A","",IF($P222="","",IF($P222&gt;=85%,"C","NC")))</f>
        <v/>
      </c>
      <c r="R222" s="81" t="str">
        <f t="shared" si="53"/>
        <v/>
      </c>
      <c r="S222" s="5"/>
      <c r="T222" s="10"/>
      <c r="U222" s="10"/>
      <c r="V222" s="10"/>
      <c r="W222" s="82">
        <f t="shared" ref="W222" si="55">IF(O222="N/A",0,D222)</f>
        <v>4.5</v>
      </c>
    </row>
    <row r="223" spans="3:23" ht="132" customHeight="1">
      <c r="C223" s="53" t="s">
        <v>512</v>
      </c>
      <c r="D223" s="75">
        <v>4.5</v>
      </c>
      <c r="E223" s="51" t="s">
        <v>143</v>
      </c>
      <c r="F223" s="63" t="s">
        <v>52</v>
      </c>
      <c r="G223" s="51" t="s">
        <v>63</v>
      </c>
      <c r="H223" s="51" t="s">
        <v>513</v>
      </c>
      <c r="I223" s="54" t="s">
        <v>514</v>
      </c>
      <c r="J223" s="58"/>
      <c r="K223" s="69" t="s">
        <v>515</v>
      </c>
      <c r="L223" s="70"/>
      <c r="M223" s="70"/>
      <c r="N223" s="80"/>
      <c r="O223" s="95"/>
      <c r="P223" s="96"/>
      <c r="Q223" s="77" t="str">
        <f>IF($O223="N/A","",IF($P223="","",IF($P223&gt;=85%,"C","NC")))</f>
        <v/>
      </c>
      <c r="R223" s="81" t="str">
        <f t="shared" si="53"/>
        <v/>
      </c>
      <c r="S223" s="5"/>
      <c r="T223" s="10"/>
      <c r="U223" s="10"/>
      <c r="V223" s="10"/>
      <c r="W223" s="82">
        <f t="shared" si="54"/>
        <v>4.5</v>
      </c>
    </row>
    <row r="224" spans="3:23" ht="15.6">
      <c r="C224" s="104"/>
      <c r="D224" s="105"/>
      <c r="E224" s="104"/>
      <c r="F224" s="104"/>
      <c r="G224" s="104"/>
      <c r="H224" s="104"/>
      <c r="I224" s="104"/>
      <c r="J224" s="104"/>
      <c r="K224" s="104"/>
      <c r="L224" s="104"/>
      <c r="M224" s="104"/>
      <c r="N224" s="67"/>
      <c r="O224" s="5"/>
      <c r="P224" s="5"/>
      <c r="Q224" s="5"/>
      <c r="R224" s="84" t="str">
        <f>IF(SUM(R221:R223)=0,"-",IFERROR(SUM(R221:R223),""))</f>
        <v>-</v>
      </c>
      <c r="S224" s="5"/>
      <c r="T224" s="10"/>
      <c r="U224" s="10"/>
      <c r="V224" s="10"/>
      <c r="W224" s="90"/>
    </row>
    <row r="225" spans="3:23" ht="15.6">
      <c r="C225" s="104"/>
      <c r="D225" s="105"/>
      <c r="E225" s="104"/>
      <c r="F225" s="104"/>
      <c r="G225" s="104"/>
      <c r="H225" s="104"/>
      <c r="I225" s="104"/>
      <c r="J225" s="104"/>
      <c r="K225" s="104"/>
      <c r="L225" s="104"/>
      <c r="M225" s="104"/>
      <c r="N225" s="67"/>
      <c r="O225" s="93" t="str">
        <f>IF(O221="N/A",IF(O222="N/A",IF(O223="N/A","N/A","-"),"-"),"-")</f>
        <v>-</v>
      </c>
      <c r="P225" s="94" t="str">
        <f>IF(O225="N/A","N/A",$R225)</f>
        <v>-</v>
      </c>
      <c r="Q225" s="90"/>
      <c r="R225" s="84" t="str">
        <f>IF(R224="-","-",IFERROR(($P221*W221+$P222*W222+$P223*W223)/(SUM(W221:W223)),""))</f>
        <v>-</v>
      </c>
      <c r="S225" s="5"/>
      <c r="T225" s="10"/>
      <c r="U225" s="10"/>
      <c r="V225" s="10"/>
      <c r="W225" s="91"/>
    </row>
    <row r="226" spans="3:23" ht="4.5" customHeight="1">
      <c r="C226" s="56"/>
      <c r="D226" s="87"/>
      <c r="E226" s="56"/>
      <c r="F226" s="56"/>
      <c r="G226" s="56"/>
      <c r="H226" s="56"/>
      <c r="I226" s="56"/>
      <c r="J226" s="56"/>
      <c r="K226" s="58"/>
      <c r="L226" s="58"/>
      <c r="M226" s="58"/>
      <c r="N226" s="80"/>
    </row>
    <row r="227" spans="3:23" ht="13.5" customHeight="1">
      <c r="C227" s="60" t="s">
        <v>32</v>
      </c>
      <c r="D227" s="60" t="s">
        <v>33</v>
      </c>
      <c r="E227" s="60" t="s">
        <v>34</v>
      </c>
      <c r="F227" s="60" t="s">
        <v>179</v>
      </c>
      <c r="G227" s="60" t="s">
        <v>36</v>
      </c>
      <c r="H227" s="60" t="s">
        <v>37</v>
      </c>
      <c r="I227" s="60" t="s">
        <v>38</v>
      </c>
      <c r="J227" s="56"/>
      <c r="K227" s="109" t="s">
        <v>39</v>
      </c>
      <c r="L227" s="110"/>
      <c r="M227" s="111"/>
      <c r="N227" s="67"/>
      <c r="O227" s="112" t="s">
        <v>40</v>
      </c>
      <c r="P227" s="113"/>
      <c r="Q227" s="114"/>
      <c r="R227" s="55"/>
      <c r="S227" s="5"/>
    </row>
    <row r="228" spans="3:23" ht="3" customHeight="1">
      <c r="C228" s="56"/>
      <c r="D228" s="87"/>
      <c r="E228" s="56"/>
      <c r="F228" s="56"/>
      <c r="G228" s="56"/>
      <c r="H228" s="56"/>
      <c r="I228" s="56"/>
      <c r="J228" s="56"/>
      <c r="K228" s="58"/>
      <c r="L228" s="58"/>
      <c r="M228" s="58"/>
      <c r="N228" s="80"/>
      <c r="R228" s="58"/>
    </row>
    <row r="229" spans="3:23" ht="14.25" customHeight="1">
      <c r="C229" s="55"/>
      <c r="D229" s="51">
        <v>3</v>
      </c>
      <c r="E229" s="55"/>
      <c r="F229" s="55"/>
      <c r="G229" s="55"/>
      <c r="H229" s="55"/>
      <c r="I229" s="61" t="s">
        <v>516</v>
      </c>
      <c r="J229" s="55"/>
      <c r="K229" s="60" t="s">
        <v>42</v>
      </c>
      <c r="L229" s="60" t="s">
        <v>43</v>
      </c>
      <c r="M229" s="60" t="s">
        <v>44</v>
      </c>
      <c r="N229" s="67"/>
      <c r="O229" s="7" t="s">
        <v>45</v>
      </c>
      <c r="P229" s="7" t="s">
        <v>46</v>
      </c>
      <c r="Q229" s="7" t="s">
        <v>47</v>
      </c>
      <c r="R229" s="60" t="s">
        <v>48</v>
      </c>
      <c r="S229" s="5"/>
    </row>
    <row r="230" spans="3:23" ht="3.75" customHeight="1">
      <c r="C230" s="55"/>
      <c r="D230" s="85"/>
      <c r="E230" s="55"/>
      <c r="F230" s="55"/>
      <c r="G230" s="55"/>
      <c r="H230" s="55"/>
      <c r="I230" s="55"/>
      <c r="J230" s="55"/>
      <c r="K230" s="55"/>
      <c r="L230" s="55"/>
      <c r="M230" s="55"/>
      <c r="N230" s="67"/>
      <c r="O230" s="5"/>
      <c r="P230" s="5"/>
      <c r="Q230" s="5"/>
      <c r="R230" s="5"/>
      <c r="S230" s="5"/>
    </row>
    <row r="231" spans="3:23" ht="14.25" customHeight="1">
      <c r="C231" s="55"/>
      <c r="D231" s="86">
        <v>3</v>
      </c>
      <c r="E231" s="56"/>
      <c r="F231" s="56"/>
      <c r="G231" s="56"/>
      <c r="H231" s="56"/>
      <c r="I231" s="57" t="s">
        <v>517</v>
      </c>
      <c r="J231" s="58"/>
      <c r="K231" s="55"/>
      <c r="L231" s="55"/>
      <c r="M231" s="55"/>
      <c r="N231" s="67"/>
      <c r="O231" s="5"/>
      <c r="P231" s="5"/>
      <c r="Q231" s="5"/>
      <c r="R231" s="11"/>
      <c r="S231" s="5"/>
    </row>
    <row r="232" spans="3:23" ht="49.5" customHeight="1">
      <c r="C232" s="53" t="s">
        <v>518</v>
      </c>
      <c r="D232" s="51">
        <v>3.5</v>
      </c>
      <c r="E232" s="51" t="s">
        <v>58</v>
      </c>
      <c r="F232" s="51" t="s">
        <v>104</v>
      </c>
      <c r="G232" s="51" t="s">
        <v>519</v>
      </c>
      <c r="H232" s="59" t="s">
        <v>520</v>
      </c>
      <c r="I232" s="54" t="s">
        <v>521</v>
      </c>
      <c r="J232" s="58"/>
      <c r="K232" s="69" t="s">
        <v>522</v>
      </c>
      <c r="L232" s="70"/>
      <c r="M232" s="70"/>
      <c r="N232" s="80"/>
      <c r="O232" s="95"/>
      <c r="P232" s="96"/>
      <c r="Q232" s="77" t="str">
        <f t="shared" ref="Q232:Q239" si="56">IF($O232="N/A","",IF($P232="","",IF($P232&gt;=85%,"C","NC")))</f>
        <v/>
      </c>
      <c r="R232" s="81" t="str">
        <f t="shared" ref="R232:R239" si="57">IF($O232="N/A","",IF($P232="","",$P232*$W232))</f>
        <v/>
      </c>
      <c r="S232" s="5"/>
      <c r="T232" s="10"/>
      <c r="U232" s="10"/>
      <c r="V232" s="10"/>
      <c r="W232" s="82">
        <f t="shared" ref="W232:W239" si="58">IF(O232="N/A",0,D232)</f>
        <v>3.5</v>
      </c>
    </row>
    <row r="233" spans="3:23" s="92" customFormat="1" ht="31.5">
      <c r="C233" s="53" t="s">
        <v>523</v>
      </c>
      <c r="D233" s="51">
        <v>1</v>
      </c>
      <c r="E233" s="51" t="s">
        <v>143</v>
      </c>
      <c r="F233" s="51" t="s">
        <v>52</v>
      </c>
      <c r="G233" s="53" t="s">
        <v>63</v>
      </c>
      <c r="H233" s="59" t="s">
        <v>319</v>
      </c>
      <c r="I233" s="54" t="s">
        <v>524</v>
      </c>
      <c r="J233" s="83"/>
      <c r="K233" s="69" t="s">
        <v>525</v>
      </c>
      <c r="L233" s="70"/>
      <c r="M233" s="70"/>
      <c r="N233" s="80"/>
      <c r="O233" s="95"/>
      <c r="P233" s="96"/>
      <c r="Q233" s="77" t="str">
        <f t="shared" si="56"/>
        <v/>
      </c>
      <c r="R233" s="81" t="str">
        <f t="shared" si="57"/>
        <v/>
      </c>
      <c r="S233" s="5"/>
      <c r="T233" s="10"/>
      <c r="U233" s="10"/>
      <c r="V233" s="10"/>
      <c r="W233" s="82">
        <f t="shared" si="58"/>
        <v>1</v>
      </c>
    </row>
    <row r="234" spans="3:23" s="92" customFormat="1" ht="31.5">
      <c r="C234" s="53" t="s">
        <v>526</v>
      </c>
      <c r="D234" s="51">
        <v>1</v>
      </c>
      <c r="E234" s="51" t="s">
        <v>143</v>
      </c>
      <c r="F234" s="51" t="s">
        <v>52</v>
      </c>
      <c r="G234" s="53" t="s">
        <v>63</v>
      </c>
      <c r="H234" s="59" t="s">
        <v>319</v>
      </c>
      <c r="I234" s="54" t="s">
        <v>527</v>
      </c>
      <c r="J234" s="83"/>
      <c r="K234" s="69" t="s">
        <v>528</v>
      </c>
      <c r="L234" s="70"/>
      <c r="M234" s="70"/>
      <c r="N234" s="80"/>
      <c r="O234" s="95"/>
      <c r="P234" s="96"/>
      <c r="Q234" s="77" t="str">
        <f t="shared" si="56"/>
        <v/>
      </c>
      <c r="R234" s="81" t="str">
        <f t="shared" si="57"/>
        <v/>
      </c>
      <c r="S234" s="5"/>
      <c r="T234" s="10"/>
      <c r="U234" s="10"/>
      <c r="V234" s="10"/>
      <c r="W234" s="82">
        <f t="shared" si="58"/>
        <v>1</v>
      </c>
    </row>
    <row r="235" spans="3:23" s="92" customFormat="1" ht="31.5">
      <c r="C235" s="53" t="s">
        <v>529</v>
      </c>
      <c r="D235" s="51">
        <v>1</v>
      </c>
      <c r="E235" s="51" t="s">
        <v>143</v>
      </c>
      <c r="F235" s="51" t="s">
        <v>52</v>
      </c>
      <c r="G235" s="53" t="s">
        <v>63</v>
      </c>
      <c r="H235" s="59" t="s">
        <v>319</v>
      </c>
      <c r="I235" s="54" t="s">
        <v>530</v>
      </c>
      <c r="J235" s="83"/>
      <c r="K235" s="71" t="s">
        <v>531</v>
      </c>
      <c r="L235" s="70"/>
      <c r="M235" s="70"/>
      <c r="N235" s="80"/>
      <c r="O235" s="95"/>
      <c r="P235" s="96"/>
      <c r="Q235" s="77" t="str">
        <f t="shared" si="56"/>
        <v/>
      </c>
      <c r="R235" s="81" t="str">
        <f t="shared" si="57"/>
        <v/>
      </c>
      <c r="S235" s="5"/>
      <c r="T235" s="10"/>
      <c r="U235" s="10"/>
      <c r="V235" s="10"/>
      <c r="W235" s="82">
        <f t="shared" si="58"/>
        <v>1</v>
      </c>
    </row>
    <row r="236" spans="3:23" ht="99" customHeight="1">
      <c r="C236" s="53" t="s">
        <v>532</v>
      </c>
      <c r="D236" s="51">
        <v>1</v>
      </c>
      <c r="E236" s="51" t="s">
        <v>143</v>
      </c>
      <c r="F236" s="51" t="s">
        <v>52</v>
      </c>
      <c r="G236" s="51" t="s">
        <v>63</v>
      </c>
      <c r="H236" s="59" t="s">
        <v>319</v>
      </c>
      <c r="I236" s="54" t="s">
        <v>533</v>
      </c>
      <c r="J236" s="58"/>
      <c r="K236" s="69" t="s">
        <v>534</v>
      </c>
      <c r="L236" s="70"/>
      <c r="M236" s="70"/>
      <c r="N236" s="80"/>
      <c r="O236" s="95"/>
      <c r="P236" s="96"/>
      <c r="Q236" s="77" t="str">
        <f t="shared" si="56"/>
        <v/>
      </c>
      <c r="R236" s="81" t="str">
        <f t="shared" si="57"/>
        <v/>
      </c>
      <c r="S236" s="5"/>
      <c r="T236" s="10"/>
      <c r="U236" s="10"/>
      <c r="V236" s="10"/>
      <c r="W236" s="82">
        <f t="shared" si="58"/>
        <v>1</v>
      </c>
    </row>
    <row r="237" spans="3:23" ht="31.5">
      <c r="C237" s="53" t="s">
        <v>535</v>
      </c>
      <c r="D237" s="51">
        <v>1</v>
      </c>
      <c r="E237" s="51" t="s">
        <v>143</v>
      </c>
      <c r="F237" s="51" t="s">
        <v>52</v>
      </c>
      <c r="G237" s="51" t="s">
        <v>63</v>
      </c>
      <c r="H237" s="59" t="s">
        <v>319</v>
      </c>
      <c r="I237" s="54" t="s">
        <v>536</v>
      </c>
      <c r="J237" s="58"/>
      <c r="K237" s="69" t="s">
        <v>537</v>
      </c>
      <c r="L237" s="70"/>
      <c r="M237" s="70"/>
      <c r="N237" s="80"/>
      <c r="O237" s="95"/>
      <c r="P237" s="96"/>
      <c r="Q237" s="77" t="str">
        <f t="shared" si="56"/>
        <v/>
      </c>
      <c r="R237" s="81" t="str">
        <f t="shared" si="57"/>
        <v/>
      </c>
      <c r="S237" s="5"/>
      <c r="T237" s="10"/>
      <c r="U237" s="10"/>
      <c r="V237" s="10"/>
      <c r="W237" s="82">
        <f t="shared" si="58"/>
        <v>1</v>
      </c>
    </row>
    <row r="238" spans="3:23" ht="31.5">
      <c r="C238" s="53" t="s">
        <v>538</v>
      </c>
      <c r="D238" s="51">
        <v>1</v>
      </c>
      <c r="E238" s="51" t="s">
        <v>143</v>
      </c>
      <c r="F238" s="51" t="s">
        <v>52</v>
      </c>
      <c r="G238" s="51" t="s">
        <v>63</v>
      </c>
      <c r="H238" s="59" t="s">
        <v>319</v>
      </c>
      <c r="I238" s="54" t="s">
        <v>539</v>
      </c>
      <c r="J238" s="58"/>
      <c r="K238" s="69" t="s">
        <v>540</v>
      </c>
      <c r="L238" s="70"/>
      <c r="M238" s="70"/>
      <c r="N238" s="80"/>
      <c r="O238" s="95"/>
      <c r="P238" s="96"/>
      <c r="Q238" s="77" t="str">
        <f t="shared" si="56"/>
        <v/>
      </c>
      <c r="R238" s="81" t="str">
        <f t="shared" si="57"/>
        <v/>
      </c>
      <c r="S238" s="5"/>
      <c r="T238" s="10"/>
      <c r="U238" s="10"/>
      <c r="V238" s="10"/>
      <c r="W238" s="82">
        <f t="shared" si="58"/>
        <v>1</v>
      </c>
    </row>
    <row r="239" spans="3:23" ht="31.5">
      <c r="C239" s="53" t="s">
        <v>541</v>
      </c>
      <c r="D239" s="51">
        <v>4</v>
      </c>
      <c r="E239" s="51" t="s">
        <v>232</v>
      </c>
      <c r="F239" s="51" t="s">
        <v>52</v>
      </c>
      <c r="G239" s="51" t="s">
        <v>63</v>
      </c>
      <c r="H239" s="59" t="s">
        <v>319</v>
      </c>
      <c r="I239" s="54" t="s">
        <v>542</v>
      </c>
      <c r="J239" s="58"/>
      <c r="K239" s="69" t="s">
        <v>543</v>
      </c>
      <c r="L239" s="70"/>
      <c r="M239" s="70"/>
      <c r="N239" s="80"/>
      <c r="O239" s="95"/>
      <c r="P239" s="96"/>
      <c r="Q239" s="77" t="str">
        <f t="shared" si="56"/>
        <v/>
      </c>
      <c r="R239" s="81" t="str">
        <f t="shared" si="57"/>
        <v/>
      </c>
      <c r="S239" s="5"/>
      <c r="T239" s="10"/>
      <c r="U239" s="10"/>
      <c r="V239" s="10"/>
      <c r="W239" s="82">
        <f t="shared" si="58"/>
        <v>4</v>
      </c>
    </row>
    <row r="240" spans="3:23" ht="15.6">
      <c r="C240" s="104"/>
      <c r="D240" s="105"/>
      <c r="E240" s="104"/>
      <c r="F240" s="104"/>
      <c r="G240" s="104"/>
      <c r="H240" s="104"/>
      <c r="I240" s="104"/>
      <c r="J240" s="104"/>
      <c r="K240" s="104"/>
      <c r="L240" s="104"/>
      <c r="M240" s="104"/>
      <c r="N240" s="67"/>
      <c r="O240" s="5"/>
      <c r="P240" s="5"/>
      <c r="Q240" s="5"/>
      <c r="R240" s="84" t="str">
        <f>IF(SUM(R232:R239)=0,"-",IFERROR(SUM(R232:R239),""))</f>
        <v>-</v>
      </c>
      <c r="S240" s="5"/>
      <c r="T240" s="10"/>
      <c r="U240" s="10"/>
      <c r="V240" s="10"/>
      <c r="W240" s="10"/>
    </row>
    <row r="241" spans="3:23" ht="11.25" customHeight="1">
      <c r="C241" s="104"/>
      <c r="D241" s="105"/>
      <c r="E241" s="104"/>
      <c r="F241" s="104"/>
      <c r="G241" s="104"/>
      <c r="H241" s="104"/>
      <c r="I241" s="104"/>
      <c r="J241" s="104"/>
      <c r="K241" s="104"/>
      <c r="L241" s="104"/>
      <c r="M241" s="104"/>
      <c r="N241" s="67"/>
      <c r="O241" s="93" t="str">
        <f>IF(O232="N/A",IF(O233="N/A",IF(O234="N/A",IF(O235="N/A",IF(O236="N/A",IF(O237="N/A",IF(O238="N/A",IF(O239="N/A","N/A","-"),"-"),"-"),"-"),"-"),"-"),"-"),"-")</f>
        <v>-</v>
      </c>
      <c r="P241" s="94" t="str">
        <f>IF(O241="N/A","N/A",$R241)</f>
        <v>-</v>
      </c>
      <c r="Q241" s="90"/>
      <c r="R241" s="84" t="str">
        <f>IF(R240="-","-",IFERROR(($P232*W232+$P233*W233+$P234*W234+$P235*W235+$P236*W236+$P237*W237+$P238*W238+$P239*W239)/(SUM(W232:W239)),""))</f>
        <v>-</v>
      </c>
      <c r="S241" s="5"/>
      <c r="T241" s="10"/>
      <c r="U241" s="10"/>
      <c r="V241" s="10"/>
      <c r="W241" s="10"/>
    </row>
    <row r="242" spans="3:23" ht="3.75" customHeight="1">
      <c r="C242" s="55"/>
      <c r="D242" s="85"/>
      <c r="E242" s="55"/>
      <c r="F242" s="55"/>
      <c r="G242" s="55"/>
      <c r="H242" s="55"/>
      <c r="I242" s="55"/>
      <c r="J242" s="55"/>
      <c r="K242" s="55"/>
      <c r="L242" s="55"/>
      <c r="M242" s="55"/>
      <c r="N242" s="67"/>
      <c r="O242" s="5"/>
      <c r="P242" s="5"/>
      <c r="Q242" s="5"/>
      <c r="R242" s="5"/>
      <c r="S242" s="5"/>
    </row>
    <row r="243" spans="3:23" ht="14.25" customHeight="1">
      <c r="C243" s="55"/>
      <c r="D243" s="86">
        <v>5</v>
      </c>
      <c r="E243" s="56"/>
      <c r="F243" s="56"/>
      <c r="G243" s="56"/>
      <c r="H243" s="56"/>
      <c r="I243" s="57" t="s">
        <v>544</v>
      </c>
      <c r="J243" s="58"/>
      <c r="K243" s="55"/>
      <c r="L243" s="55"/>
      <c r="M243" s="55"/>
      <c r="N243" s="67"/>
      <c r="O243" s="5"/>
      <c r="P243" s="5"/>
      <c r="Q243" s="5"/>
      <c r="R243" s="11"/>
      <c r="S243" s="5"/>
      <c r="T243" s="10"/>
      <c r="U243" s="10"/>
      <c r="V243" s="10"/>
      <c r="W243" s="7" t="s">
        <v>48</v>
      </c>
    </row>
    <row r="244" spans="3:23" ht="15.6">
      <c r="C244" s="53" t="s">
        <v>545</v>
      </c>
      <c r="D244" s="51">
        <v>5</v>
      </c>
      <c r="E244" s="51" t="s">
        <v>51</v>
      </c>
      <c r="F244" s="51" t="s">
        <v>85</v>
      </c>
      <c r="G244" s="51" t="s">
        <v>135</v>
      </c>
      <c r="H244" s="59">
        <v>153131</v>
      </c>
      <c r="I244" s="54" t="s">
        <v>546</v>
      </c>
      <c r="J244" s="58"/>
      <c r="K244" s="69" t="s">
        <v>547</v>
      </c>
      <c r="L244" s="70"/>
      <c r="M244" s="70"/>
      <c r="N244" s="80"/>
      <c r="O244" s="95"/>
      <c r="P244" s="96"/>
      <c r="Q244" s="77" t="str">
        <f t="shared" ref="Q244:Q249" si="59">IF($O244="N/A","",IF($P244="","",IF($P244&gt;=85%,"C","NC")))</f>
        <v/>
      </c>
      <c r="R244" s="81" t="str">
        <f t="shared" ref="R244:R249" si="60">IF($O244="N/A","",IF($P244="","",$P244*$W244))</f>
        <v/>
      </c>
      <c r="S244" s="5"/>
      <c r="T244" s="10"/>
      <c r="U244" s="10"/>
      <c r="V244" s="10"/>
      <c r="W244" s="82">
        <f t="shared" ref="W244:W249" si="61">IF(O244="N/A",0,D244)</f>
        <v>5</v>
      </c>
    </row>
    <row r="245" spans="3:23" ht="15.6">
      <c r="C245" s="53" t="s">
        <v>548</v>
      </c>
      <c r="D245" s="51">
        <v>4.5</v>
      </c>
      <c r="E245" s="51" t="s">
        <v>58</v>
      </c>
      <c r="F245" s="51" t="s">
        <v>85</v>
      </c>
      <c r="G245" s="51" t="s">
        <v>148</v>
      </c>
      <c r="H245" s="59" t="s">
        <v>549</v>
      </c>
      <c r="I245" s="54" t="s">
        <v>550</v>
      </c>
      <c r="J245" s="58"/>
      <c r="K245" s="69" t="s">
        <v>551</v>
      </c>
      <c r="L245" s="70"/>
      <c r="M245" s="70"/>
      <c r="N245" s="80"/>
      <c r="O245" s="95"/>
      <c r="P245" s="96"/>
      <c r="Q245" s="77" t="str">
        <f t="shared" si="59"/>
        <v/>
      </c>
      <c r="R245" s="81" t="str">
        <f t="shared" si="60"/>
        <v/>
      </c>
      <c r="S245" s="5"/>
      <c r="T245" s="10"/>
      <c r="U245" s="10"/>
      <c r="V245" s="10"/>
      <c r="W245" s="82">
        <f t="shared" si="61"/>
        <v>4.5</v>
      </c>
    </row>
    <row r="246" spans="3:23" ht="15.6">
      <c r="C246" s="53" t="s">
        <v>552</v>
      </c>
      <c r="D246" s="51">
        <v>4.5</v>
      </c>
      <c r="E246" s="51" t="s">
        <v>58</v>
      </c>
      <c r="F246" s="51" t="s">
        <v>85</v>
      </c>
      <c r="G246" s="51" t="s">
        <v>152</v>
      </c>
      <c r="H246" s="59" t="s">
        <v>553</v>
      </c>
      <c r="I246" s="54" t="s">
        <v>554</v>
      </c>
      <c r="J246" s="58"/>
      <c r="K246" s="69" t="s">
        <v>551</v>
      </c>
      <c r="L246" s="70"/>
      <c r="M246" s="70"/>
      <c r="N246" s="80"/>
      <c r="O246" s="95"/>
      <c r="P246" s="96"/>
      <c r="Q246" s="77" t="str">
        <f t="shared" si="59"/>
        <v/>
      </c>
      <c r="R246" s="81" t="str">
        <f t="shared" si="60"/>
        <v/>
      </c>
      <c r="S246" s="5"/>
      <c r="T246" s="10"/>
      <c r="U246" s="10"/>
      <c r="V246" s="10"/>
      <c r="W246" s="82">
        <f t="shared" si="61"/>
        <v>4.5</v>
      </c>
    </row>
    <row r="247" spans="3:23" ht="21">
      <c r="C247" s="53" t="s">
        <v>555</v>
      </c>
      <c r="D247" s="51">
        <v>5</v>
      </c>
      <c r="E247" s="51" t="s">
        <v>58</v>
      </c>
      <c r="F247" s="51" t="s">
        <v>85</v>
      </c>
      <c r="G247" s="51" t="s">
        <v>156</v>
      </c>
      <c r="H247" s="59" t="s">
        <v>556</v>
      </c>
      <c r="I247" s="54" t="s">
        <v>557</v>
      </c>
      <c r="J247" s="58"/>
      <c r="K247" s="69" t="s">
        <v>551</v>
      </c>
      <c r="L247" s="70"/>
      <c r="M247" s="70"/>
      <c r="N247" s="80"/>
      <c r="O247" s="95"/>
      <c r="P247" s="96"/>
      <c r="Q247" s="77" t="str">
        <f t="shared" si="59"/>
        <v/>
      </c>
      <c r="R247" s="81" t="str">
        <f t="shared" si="60"/>
        <v/>
      </c>
      <c r="S247" s="5"/>
      <c r="T247" s="10"/>
      <c r="U247" s="10"/>
      <c r="V247" s="10"/>
      <c r="W247" s="82">
        <f t="shared" si="61"/>
        <v>5</v>
      </c>
    </row>
    <row r="248" spans="3:23" ht="31.5">
      <c r="C248" s="53" t="s">
        <v>558</v>
      </c>
      <c r="D248" s="51">
        <v>5</v>
      </c>
      <c r="E248" s="51" t="s">
        <v>58</v>
      </c>
      <c r="F248" s="51" t="s">
        <v>85</v>
      </c>
      <c r="G248" s="51" t="s">
        <v>156</v>
      </c>
      <c r="H248" s="59" t="s">
        <v>559</v>
      </c>
      <c r="I248" s="54" t="s">
        <v>560</v>
      </c>
      <c r="J248" s="58"/>
      <c r="K248" s="69" t="s">
        <v>561</v>
      </c>
      <c r="L248" s="70"/>
      <c r="M248" s="70"/>
      <c r="N248" s="80"/>
      <c r="O248" s="95"/>
      <c r="P248" s="96"/>
      <c r="Q248" s="77" t="str">
        <f t="shared" si="59"/>
        <v/>
      </c>
      <c r="R248" s="81" t="str">
        <f t="shared" si="60"/>
        <v/>
      </c>
      <c r="S248" s="5"/>
      <c r="T248" s="10"/>
      <c r="U248" s="10"/>
      <c r="V248" s="10"/>
      <c r="W248" s="82">
        <f t="shared" si="61"/>
        <v>5</v>
      </c>
    </row>
    <row r="249" spans="3:23" ht="15.6">
      <c r="C249" s="53" t="s">
        <v>562</v>
      </c>
      <c r="D249" s="51">
        <v>5</v>
      </c>
      <c r="E249" s="51" t="s">
        <v>58</v>
      </c>
      <c r="F249" s="51" t="s">
        <v>85</v>
      </c>
      <c r="G249" s="51" t="s">
        <v>156</v>
      </c>
      <c r="H249" s="59" t="s">
        <v>563</v>
      </c>
      <c r="I249" s="54" t="s">
        <v>564</v>
      </c>
      <c r="J249" s="58"/>
      <c r="K249" s="69" t="s">
        <v>565</v>
      </c>
      <c r="L249" s="70"/>
      <c r="M249" s="70"/>
      <c r="N249" s="80"/>
      <c r="O249" s="95"/>
      <c r="P249" s="96"/>
      <c r="Q249" s="77" t="str">
        <f t="shared" si="59"/>
        <v/>
      </c>
      <c r="R249" s="81" t="str">
        <f t="shared" si="60"/>
        <v/>
      </c>
      <c r="S249" s="5"/>
      <c r="T249" s="10"/>
      <c r="U249" s="10"/>
      <c r="V249" s="10"/>
      <c r="W249" s="82">
        <f t="shared" si="61"/>
        <v>5</v>
      </c>
    </row>
    <row r="250" spans="3:23" ht="15.6">
      <c r="C250" s="104"/>
      <c r="D250" s="105"/>
      <c r="E250" s="104"/>
      <c r="F250" s="104"/>
      <c r="G250" s="104"/>
      <c r="H250" s="104"/>
      <c r="I250" s="104"/>
      <c r="J250" s="104"/>
      <c r="K250" s="104"/>
      <c r="L250" s="104"/>
      <c r="M250" s="104"/>
      <c r="N250" s="67"/>
      <c r="O250" s="5"/>
      <c r="P250" s="5"/>
      <c r="Q250" s="5"/>
      <c r="R250" s="84" t="str">
        <f>IF(SUM(R244:R249)=0,"-",IFERROR(SUM(R244:R249),""))</f>
        <v>-</v>
      </c>
      <c r="S250" s="5"/>
      <c r="T250" s="10"/>
      <c r="U250" s="10"/>
      <c r="V250" s="10"/>
      <c r="W250" s="10"/>
    </row>
    <row r="251" spans="3:23" ht="15.6">
      <c r="C251" s="104"/>
      <c r="D251" s="105"/>
      <c r="E251" s="104"/>
      <c r="F251" s="104"/>
      <c r="G251" s="104"/>
      <c r="H251" s="104"/>
      <c r="I251" s="104"/>
      <c r="J251" s="104"/>
      <c r="K251" s="104"/>
      <c r="L251" s="104"/>
      <c r="M251" s="104"/>
      <c r="N251" s="67"/>
      <c r="O251" s="93" t="str">
        <f>IF(O244="N/A",IF(O245="N/A",IF(O246="N/A",IF(O247="N/A",IF(O248="N/A",IF(O249="N/A","N/A","-"),"-"),"-"),"-"),"-"),"-")</f>
        <v>-</v>
      </c>
      <c r="P251" s="94" t="str">
        <f>IF(O251="N/A","N/A",$R251)</f>
        <v>-</v>
      </c>
      <c r="Q251" s="90"/>
      <c r="R251" s="84" t="str">
        <f>IF(R250="-","-",IFERROR(($P244*W244+$P245*W245+$P246*W246+$P247*W247+$P248*W248+$P249*W249)/(SUM(W244:W249)),""))</f>
        <v>-</v>
      </c>
      <c r="S251" s="5"/>
      <c r="T251" s="10"/>
      <c r="U251" s="10"/>
      <c r="V251" s="10"/>
      <c r="W251" s="10"/>
    </row>
    <row r="252" spans="3:23" ht="3.75" customHeight="1">
      <c r="C252" s="55"/>
      <c r="D252" s="85"/>
      <c r="E252" s="55"/>
      <c r="F252" s="55"/>
      <c r="G252" s="55"/>
      <c r="H252" s="55"/>
      <c r="I252" s="55"/>
      <c r="J252" s="55"/>
      <c r="K252" s="55"/>
      <c r="L252" s="55"/>
      <c r="M252" s="55"/>
      <c r="N252" s="67"/>
      <c r="O252" s="5"/>
      <c r="P252" s="5"/>
      <c r="Q252" s="5"/>
      <c r="R252" s="5"/>
      <c r="S252" s="5"/>
    </row>
    <row r="253" spans="3:23" ht="14.25" customHeight="1">
      <c r="C253" s="55"/>
      <c r="D253" s="86">
        <v>3</v>
      </c>
      <c r="E253" s="56"/>
      <c r="F253" s="56"/>
      <c r="G253" s="56"/>
      <c r="H253" s="56"/>
      <c r="I253" s="57" t="s">
        <v>566</v>
      </c>
      <c r="J253" s="58"/>
      <c r="K253" s="55"/>
      <c r="L253" s="55"/>
      <c r="M253" s="55"/>
      <c r="N253" s="67"/>
      <c r="S253" s="5"/>
      <c r="T253" s="10"/>
      <c r="U253" s="10"/>
      <c r="V253" s="10"/>
      <c r="W253" s="7" t="s">
        <v>48</v>
      </c>
    </row>
    <row r="254" spans="3:23" ht="42">
      <c r="C254" s="53" t="s">
        <v>567</v>
      </c>
      <c r="D254" s="51">
        <v>4.5</v>
      </c>
      <c r="E254" s="51" t="s">
        <v>143</v>
      </c>
      <c r="F254" s="63" t="s">
        <v>52</v>
      </c>
      <c r="G254" s="51" t="s">
        <v>63</v>
      </c>
      <c r="H254" s="51" t="s">
        <v>568</v>
      </c>
      <c r="I254" s="54" t="s">
        <v>569</v>
      </c>
      <c r="J254" s="58"/>
      <c r="K254" s="69" t="s">
        <v>570</v>
      </c>
      <c r="L254" s="70"/>
      <c r="M254" s="70"/>
      <c r="N254" s="80"/>
      <c r="O254" s="95"/>
      <c r="P254" s="96"/>
      <c r="Q254" s="77" t="str">
        <f>IF($O254="N/A","",IF($P254="","",IF($P254&gt;=85%,"C","NC")))</f>
        <v/>
      </c>
      <c r="R254" s="81" t="str">
        <f t="shared" ref="R254:R255" si="62">IF($O254="N/A","",IF($P254="","",$P254*$W254))</f>
        <v/>
      </c>
      <c r="S254" s="5"/>
      <c r="T254" s="10"/>
      <c r="U254" s="10"/>
      <c r="V254" s="10"/>
      <c r="W254" s="82">
        <f t="shared" ref="W254:W255" si="63">IF(O254="N/A",0,D254)</f>
        <v>4.5</v>
      </c>
    </row>
    <row r="255" spans="3:23" ht="42">
      <c r="C255" s="53" t="s">
        <v>571</v>
      </c>
      <c r="D255" s="51">
        <v>4.5</v>
      </c>
      <c r="E255" s="51" t="s">
        <v>232</v>
      </c>
      <c r="F255" s="63" t="s">
        <v>52</v>
      </c>
      <c r="G255" s="51" t="s">
        <v>63</v>
      </c>
      <c r="H255" s="51" t="s">
        <v>568</v>
      </c>
      <c r="I255" s="54" t="s">
        <v>572</v>
      </c>
      <c r="J255" s="58"/>
      <c r="K255" s="69" t="s">
        <v>573</v>
      </c>
      <c r="L255" s="70"/>
      <c r="M255" s="70"/>
      <c r="N255" s="80"/>
      <c r="O255" s="95"/>
      <c r="P255" s="96"/>
      <c r="Q255" s="77" t="str">
        <f>IF($O255="N/A","",IF($P255="","",IF($P255&gt;=85%,"C","NC")))</f>
        <v/>
      </c>
      <c r="R255" s="81" t="str">
        <f t="shared" si="62"/>
        <v/>
      </c>
      <c r="S255" s="5"/>
      <c r="T255" s="10"/>
      <c r="U255" s="10"/>
      <c r="V255" s="10"/>
      <c r="W255" s="82">
        <f t="shared" si="63"/>
        <v>4.5</v>
      </c>
    </row>
    <row r="256" spans="3:23">
      <c r="C256" s="115"/>
      <c r="D256" s="116"/>
      <c r="E256" s="115"/>
      <c r="F256" s="115"/>
      <c r="G256" s="115"/>
      <c r="H256" s="115"/>
      <c r="I256" s="115"/>
      <c r="J256" s="115"/>
      <c r="K256" s="115"/>
      <c r="L256" s="115"/>
      <c r="M256" s="115"/>
      <c r="N256" s="66"/>
      <c r="O256" s="5"/>
      <c r="P256" s="5"/>
      <c r="Q256" s="5"/>
      <c r="R256" s="84" t="str">
        <f>IF(SUM(R254:R255)=0,"-",IFERROR(SUM(R254:R255),""))</f>
        <v>-</v>
      </c>
      <c r="S256" s="5"/>
      <c r="T256" s="10"/>
      <c r="U256" s="10"/>
      <c r="V256" s="10"/>
      <c r="W256" s="90"/>
    </row>
    <row r="257" spans="3:23">
      <c r="C257" s="115"/>
      <c r="D257" s="116"/>
      <c r="E257" s="115"/>
      <c r="F257" s="115"/>
      <c r="G257" s="115"/>
      <c r="H257" s="115"/>
      <c r="I257" s="115"/>
      <c r="J257" s="115"/>
      <c r="K257" s="115"/>
      <c r="L257" s="115"/>
      <c r="M257" s="115"/>
      <c r="N257" s="66"/>
      <c r="O257" s="93" t="str">
        <f>IF(O254="N/A",IF(O255="N/A","N/A","-"),"-")</f>
        <v>-</v>
      </c>
      <c r="P257" s="94" t="str">
        <f>IF(O257="N/A","N/A",$R257)</f>
        <v>-</v>
      </c>
      <c r="Q257" s="90"/>
      <c r="R257" s="84" t="str">
        <f>IF(R256="-","-",IFERROR(($P254*W254+$P255*W255)/(SUM(W254:W255)),""))</f>
        <v>-</v>
      </c>
      <c r="S257" s="5"/>
      <c r="T257" s="10"/>
      <c r="U257" s="10"/>
      <c r="V257" s="10"/>
      <c r="W257" s="91"/>
    </row>
    <row r="258" spans="3:23" ht="4.5" customHeight="1">
      <c r="C258" s="3"/>
      <c r="D258" s="34"/>
      <c r="E258" s="3"/>
      <c r="F258" s="3"/>
      <c r="G258" s="3"/>
      <c r="H258" s="3"/>
    </row>
    <row r="259" spans="3:23" ht="11.25" customHeight="1">
      <c r="C259" s="3"/>
      <c r="D259" s="34"/>
      <c r="E259" s="3"/>
      <c r="F259" s="3"/>
      <c r="G259" s="3"/>
      <c r="H259" s="3"/>
    </row>
    <row r="260" spans="3:23">
      <c r="H260" s="3"/>
    </row>
    <row r="261" spans="3:23">
      <c r="H261" s="3"/>
    </row>
    <row r="262" spans="3:23">
      <c r="H262" s="3"/>
    </row>
  </sheetData>
  <sheetProtection algorithmName="SHA-512" hashValue="3DKHdtaeI5XGxv8/zhWLWwv+/uRJJ1emdHwMuC5q3eHrGVYV8CPqE7ME4Yc1SvEl0rBu7P1tWPFgAlfYKwEY0A==" saltValue="5v2HcdBovNBxwAm3LUhaVg==" spinCount="100000" sheet="1" objects="1" scenarios="1" formatRows="0" selectLockedCells="1"/>
  <customSheetViews>
    <customSheetView guid="{D37F1B69-6CE7-4A90-8559-8AE519A5C1EC}" showPageBreaks="1" showGridLines="0" printArea="1" hiddenColumns="1" view="pageLayout" topLeftCell="A182">
      <selection activeCell="C219" sqref="C219:S219"/>
      <rowBreaks count="1" manualBreakCount="1">
        <brk id="117" max="20" man="1"/>
      </rowBreaks>
      <pageMargins left="0" right="0" top="0" bottom="0" header="0" footer="0"/>
      <printOptions horizontalCentered="1"/>
      <pageSetup paperSize="9" scale="39" orientation="portrait" r:id="rId1"/>
      <headerFooter>
        <oddHeader>&amp;C&amp;"-,Negrito"&amp;12Superintendência de Infraestrutura Aeroportuária - SIA
Gerência de Certificação e Segurança Operacional - GCOP
Gerência Técnica de Infraestrutura e Operações Aeroportuárias - GTOP</oddHeader>
      </headerFooter>
    </customSheetView>
  </customSheetViews>
  <mergeCells count="71">
    <mergeCell ref="C224:M224"/>
    <mergeCell ref="C225:M225"/>
    <mergeCell ref="K11:M11"/>
    <mergeCell ref="O11:Q11"/>
    <mergeCell ref="K60:M60"/>
    <mergeCell ref="O60:Q60"/>
    <mergeCell ref="C86:M86"/>
    <mergeCell ref="C87:M87"/>
    <mergeCell ref="C28:M28"/>
    <mergeCell ref="C27:M27"/>
    <mergeCell ref="C38:M38"/>
    <mergeCell ref="C39:M39"/>
    <mergeCell ref="C50:M50"/>
    <mergeCell ref="C51:M51"/>
    <mergeCell ref="K89:M89"/>
    <mergeCell ref="O89:Q89"/>
    <mergeCell ref="C2:F2"/>
    <mergeCell ref="H2:I2"/>
    <mergeCell ref="K2:Q9"/>
    <mergeCell ref="C3:F3"/>
    <mergeCell ref="H3:I3"/>
    <mergeCell ref="C4:F4"/>
    <mergeCell ref="H4:I4"/>
    <mergeCell ref="C5:F5"/>
    <mergeCell ref="H5:I5"/>
    <mergeCell ref="C9:F9"/>
    <mergeCell ref="H9:I9"/>
    <mergeCell ref="C6:F6"/>
    <mergeCell ref="C256:M256"/>
    <mergeCell ref="C257:M257"/>
    <mergeCell ref="C240:M240"/>
    <mergeCell ref="C241:M241"/>
    <mergeCell ref="C250:M250"/>
    <mergeCell ref="C251:M251"/>
    <mergeCell ref="K227:M227"/>
    <mergeCell ref="O227:Q227"/>
    <mergeCell ref="C197:M197"/>
    <mergeCell ref="C198:M198"/>
    <mergeCell ref="C103:M103"/>
    <mergeCell ref="C108:M108"/>
    <mergeCell ref="C109:M109"/>
    <mergeCell ref="C118:M118"/>
    <mergeCell ref="C145:M145"/>
    <mergeCell ref="C163:M163"/>
    <mergeCell ref="C164:M164"/>
    <mergeCell ref="C179:M179"/>
    <mergeCell ref="C208:M208"/>
    <mergeCell ref="C209:M209"/>
    <mergeCell ref="C217:M217"/>
    <mergeCell ref="C218:M218"/>
    <mergeCell ref="O121:Q121"/>
    <mergeCell ref="K182:M182"/>
    <mergeCell ref="O182:Q182"/>
    <mergeCell ref="C133:M133"/>
    <mergeCell ref="C138:M138"/>
    <mergeCell ref="C139:M139"/>
    <mergeCell ref="C180:M180"/>
    <mergeCell ref="C151:M151"/>
    <mergeCell ref="C152:M152"/>
    <mergeCell ref="C146:M146"/>
    <mergeCell ref="C119:M119"/>
    <mergeCell ref="C132:M132"/>
    <mergeCell ref="C102:M102"/>
    <mergeCell ref="H6:I6"/>
    <mergeCell ref="C7:F7"/>
    <mergeCell ref="H7:I7"/>
    <mergeCell ref="C8:F8"/>
    <mergeCell ref="H8:I8"/>
    <mergeCell ref="K121:M121"/>
    <mergeCell ref="C57:M57"/>
    <mergeCell ref="C58:M58"/>
  </mergeCells>
  <phoneticPr fontId="4" type="noConversion"/>
  <printOptions horizontalCentered="1"/>
  <pageMargins left="0.70866141732283472" right="0.70866141732283472" top="0.74803149606299213" bottom="0.74803149606299213" header="0.31496062992125984" footer="0.31496062992125984"/>
  <pageSetup paperSize="9" scale="35" orientation="portrait" r:id="rId2"/>
  <headerFooter>
    <oddHeader>&amp;C&amp;"-,Negrito"&amp;12Superintendência de Infraestrutura Aeroportuária - SIA
Gerência de Certificação e Segurança Operacional - GCOP
Gerência Técnica de Infraestrutura e Operações Aeroportuárias - GTOP</oddHeader>
  </headerFooter>
  <rowBreaks count="3" manualBreakCount="3">
    <brk id="29" max="20" man="1"/>
    <brk id="110" max="20" man="1"/>
    <brk id="181" max="20" man="1"/>
  </rowBreaks>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1561845A-5891-4B48-A041-D1EF12F2742D}">
          <x14:formula1>
            <xm:f>Listas!$A$2:$A$3</xm:f>
          </x14:formula1>
          <xm:sqref>O232:O239 O65:O85 O136:O137 O142:O144 O106:O107 O244:O249 O167:O178 O254:O255 O126:O131 O94:O101 O16:O26 O155:O162 O31:O37 O54:O56 O149:O150 O187:O196 O201:O207 O212:O216 O112:O117 O42:O49 O221:O223</xm:sqref>
        </x14:dataValidation>
        <x14:dataValidation type="list" allowBlank="1" showInputMessage="1" showErrorMessage="1" xr:uid="{C22558A8-B6B2-4FA8-A3DE-AD0D68C535DA}">
          <x14:formula1>
            <xm:f>Listas!$B$2:$B$23</xm:f>
          </x14:formula1>
          <xm:sqref>P254:P255 P187:P196 P54:P56 P65:P85 P126:P131 P244:P249 P94:P101 P136:P137 P142:P144 P149:P150 P31:P37 P167:P178 P16:P26 P106:P107 P155:P162 P201:P207 P212:P216 P112:P117 P232:P239 P42:P49 P221:P223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BCB63-D9FC-468F-AC94-2A45C6E233D7}">
  <sheetPr>
    <tabColor theme="4" tint="0.39997558519241921"/>
  </sheetPr>
  <dimension ref="B1:N83"/>
  <sheetViews>
    <sheetView showGridLines="0" zoomScale="55" zoomScaleNormal="55" zoomScaleSheetLayoutView="100" workbookViewId="0">
      <selection activeCell="X18" sqref="X18"/>
    </sheetView>
  </sheetViews>
  <sheetFormatPr defaultColWidth="9.140625" defaultRowHeight="12"/>
  <cols>
    <col min="1" max="1" width="1.42578125" style="1" customWidth="1"/>
    <col min="2" max="4" width="4.42578125" style="1" customWidth="1"/>
    <col min="5" max="5" width="4.42578125" style="2" customWidth="1"/>
    <col min="6" max="6" width="4.140625" style="2" hidden="1" customWidth="1"/>
    <col min="7" max="7" width="55.85546875" style="2" customWidth="1"/>
    <col min="8" max="8" width="18.85546875" style="2" customWidth="1"/>
    <col min="9" max="9" width="4.42578125" style="16" customWidth="1"/>
    <col min="10" max="11" width="4.42578125" style="16" hidden="1" customWidth="1"/>
    <col min="12" max="12" width="4.42578125" style="1" hidden="1" customWidth="1"/>
    <col min="13" max="13" width="1.42578125" style="1" hidden="1" customWidth="1"/>
    <col min="14" max="14" width="6.42578125" style="1" hidden="1" customWidth="1"/>
    <col min="15" max="16384" width="9.140625" style="1"/>
  </cols>
  <sheetData>
    <row r="1" spans="2:14" ht="5.25" customHeight="1"/>
    <row r="2" spans="2:14" ht="16.5" customHeight="1">
      <c r="B2" s="123" t="s">
        <v>574</v>
      </c>
      <c r="C2" s="123"/>
      <c r="D2" s="123"/>
      <c r="E2" s="123"/>
      <c r="F2" s="123"/>
      <c r="G2" s="123"/>
      <c r="H2" s="123"/>
      <c r="I2" s="123"/>
      <c r="J2" s="123"/>
      <c r="K2" s="123"/>
      <c r="L2" s="123"/>
      <c r="M2" s="28"/>
      <c r="N2" s="28"/>
    </row>
    <row r="4" spans="2:14">
      <c r="F4" s="124" t="s">
        <v>33</v>
      </c>
      <c r="G4" s="126" t="s">
        <v>38</v>
      </c>
      <c r="H4" s="17" t="s">
        <v>46</v>
      </c>
      <c r="N4" s="18" t="s">
        <v>33</v>
      </c>
    </row>
    <row r="5" spans="2:14" ht="13.5" hidden="1" customHeight="1">
      <c r="E5" s="29"/>
      <c r="F5" s="125"/>
      <c r="G5" s="127"/>
      <c r="H5" s="32">
        <v>5</v>
      </c>
      <c r="N5" s="33"/>
    </row>
    <row r="6" spans="2:14" ht="13.5" customHeight="1">
      <c r="E6" s="1"/>
      <c r="F6" s="19">
        <f>'DOCS OPS'!D13</f>
        <v>1</v>
      </c>
      <c r="G6" s="37" t="str">
        <f>'DOCS OPS'!I13</f>
        <v>D1.1. Organizacional</v>
      </c>
      <c r="H6" s="50">
        <f>IFERROR((H7*N7+H8*N8+H9*N9+H10*N10)/SUM($N7:$N10),0)</f>
        <v>0</v>
      </c>
      <c r="I6" s="1"/>
      <c r="J6" s="1"/>
      <c r="N6" s="21">
        <f>IF('DOCS OPS'!$O$28="N/A",0,$F6)</f>
        <v>1</v>
      </c>
    </row>
    <row r="7" spans="2:14" ht="13.5" customHeight="1">
      <c r="E7" s="1"/>
      <c r="F7" s="22">
        <f>'DOCS OPS'!D15</f>
        <v>1</v>
      </c>
      <c r="G7" s="31" t="str">
        <f>'DOCS OPS'!I15</f>
        <v>D1.1.1. Treinamento - PISOA</v>
      </c>
      <c r="H7" s="24">
        <f>IF('DOCS OPS'!P28="-",0,IF('DOCS OPS'!P28="N/A",0,IF('DOCS OPS'!P28=0,"0",'DOCS OPS'!P28)))</f>
        <v>0</v>
      </c>
      <c r="I7" s="1"/>
      <c r="J7" s="1"/>
      <c r="K7" s="1"/>
      <c r="N7" s="21">
        <f>IF('DOCS OPS'!$O$28="N/A",0,$F7)</f>
        <v>1</v>
      </c>
    </row>
    <row r="8" spans="2:14" ht="13.5" customHeight="1">
      <c r="E8" s="1"/>
      <c r="F8" s="22">
        <f>'DOCS OPS'!D30</f>
        <v>1</v>
      </c>
      <c r="G8" s="31" t="str">
        <f>'DOCS OPS'!I30</f>
        <v>D1.1.2 PPSP</v>
      </c>
      <c r="H8" s="24">
        <f>IF('DOCS OPS'!P39="-",0,IF('DOCS OPS'!P39="N/A",0,IF('DOCS OPS'!P39=0,"0",'DOCS OPS'!P39)))</f>
        <v>0</v>
      </c>
      <c r="I8" s="1"/>
      <c r="J8" s="1"/>
      <c r="K8" s="1"/>
      <c r="N8" s="21">
        <f>IF('DOCS OPS'!$O$39="N/A",0,$F8)</f>
        <v>1</v>
      </c>
    </row>
    <row r="9" spans="2:14" ht="13.5" customHeight="1">
      <c r="E9" s="1"/>
      <c r="F9" s="22">
        <f>'DOCS OPS'!D41</f>
        <v>1</v>
      </c>
      <c r="G9" s="31" t="str">
        <f>'DOCS OPS'!I41</f>
        <v>D1.1.3. Qualificação de responsáveis</v>
      </c>
      <c r="H9" s="24">
        <f>IF('DOCS OPS'!P51="-",0,IF('DOCS OPS'!P51="N/A",0,IF('DOCS OPS'!P51=0,"0",'DOCS OPS'!P51)))</f>
        <v>0</v>
      </c>
      <c r="I9" s="1"/>
      <c r="J9" s="1"/>
      <c r="K9" s="1"/>
      <c r="N9" s="21">
        <f>IF('DOCS OPS'!$O$51="N/A",0,$F9)</f>
        <v>1</v>
      </c>
    </row>
    <row r="10" spans="2:14" ht="13.5" customHeight="1">
      <c r="E10" s="1"/>
      <c r="F10" s="22">
        <f>'DOCS OPS'!D53</f>
        <v>4</v>
      </c>
      <c r="G10" s="31" t="str">
        <f>'DOCS OPS'!I53</f>
        <v>D1.1.4. Cumprimento e avaliação das isenções e níveis equivalentes</v>
      </c>
      <c r="H10" s="24">
        <f>IF('DOCS OPS'!P58="-",0,IF('DOCS OPS'!P58="N/A",0,IF('DOCS OPS'!P58=0,"0",'DOCS OPS'!P58)))</f>
        <v>0</v>
      </c>
      <c r="I10" s="1"/>
      <c r="J10" s="1"/>
      <c r="K10" s="1"/>
      <c r="N10" s="21">
        <f>IF('DOCS OPS'!$O$58="N/A",0,$F10)</f>
        <v>4</v>
      </c>
    </row>
    <row r="11" spans="2:14" ht="13.5" customHeight="1">
      <c r="E11" s="1"/>
      <c r="F11" s="25">
        <f>'DOCS OPS'!D62</f>
        <v>3</v>
      </c>
      <c r="G11" s="30" t="str">
        <f>'DOCS OPS'!I62</f>
        <v>D1.2.Informações Aeronáuticas</v>
      </c>
      <c r="H11" s="50">
        <f>IFERROR(H12,0)</f>
        <v>0</v>
      </c>
      <c r="I11" s="1"/>
      <c r="J11" s="1"/>
      <c r="K11" s="1"/>
      <c r="N11" s="21">
        <f>IF('DOCS OPS'!$O$87="N/A",0,$F11)</f>
        <v>3</v>
      </c>
    </row>
    <row r="12" spans="2:14" ht="13.5" customHeight="1">
      <c r="E12" s="1"/>
      <c r="F12" s="25">
        <f>'DOCS OPS'!D64</f>
        <v>3</v>
      </c>
      <c r="G12" s="31" t="str">
        <f>'DOCS OPS'!I64</f>
        <v>D1.2.1 Atualização das Informações</v>
      </c>
      <c r="H12" s="24">
        <f>IF('DOCS OPS'!P87="-",0,IF('DOCS OPS'!P87="N/A",0,IF('DOCS OPS'!P87=0,"0",'DOCS OPS'!P87)))</f>
        <v>0</v>
      </c>
      <c r="I12" s="1"/>
      <c r="J12" s="1"/>
      <c r="K12" s="1"/>
      <c r="N12" s="21">
        <f>IF('DOCS OPS'!$O$87="N/A",0,$F12)</f>
        <v>3</v>
      </c>
    </row>
    <row r="13" spans="2:14" ht="13.5" customHeight="1">
      <c r="E13" s="1"/>
      <c r="F13" s="19">
        <f>'DOCS OPS'!D91</f>
        <v>5</v>
      </c>
      <c r="G13" s="26" t="str">
        <f>'DOCS OPS'!I91</f>
        <v>D1.3. Sistema de Proteção da Área Operacional</v>
      </c>
      <c r="H13" s="50">
        <f>IFERROR((H14*N14+H15*N15+H16*N16)/SUM($N14:$N16),0)</f>
        <v>0</v>
      </c>
      <c r="I13" s="1"/>
      <c r="J13" s="1"/>
      <c r="K13" s="1"/>
      <c r="N13" s="21">
        <f>IF('DOCS OPS'!$O$103="N/A",0,$F13)</f>
        <v>5</v>
      </c>
    </row>
    <row r="14" spans="2:14" ht="13.5" customHeight="1">
      <c r="E14" s="1"/>
      <c r="F14" s="22">
        <f>'DOCS OPS'!D93</f>
        <v>3</v>
      </c>
      <c r="G14" s="23" t="str">
        <f>'DOCS OPS'!I93</f>
        <v>D1.3.1. Procedimentos de monitoramento especial e periódico</v>
      </c>
      <c r="H14" s="24">
        <f>IF('DOCS OPS'!P103="-",0,IF('DOCS OPS'!P103="N/A",0,IF('DOCS OPS'!P103=0,"0",'DOCS OPS'!P103)))</f>
        <v>0</v>
      </c>
      <c r="I14" s="1"/>
      <c r="J14" s="1"/>
      <c r="K14" s="1"/>
      <c r="N14" s="21">
        <f>IF('DOCS OPS'!$O$103="N/A",0,$F14)</f>
        <v>3</v>
      </c>
    </row>
    <row r="15" spans="2:14" ht="13.5" customHeight="1">
      <c r="E15" s="1"/>
      <c r="F15" s="22">
        <f>'DOCS OPS'!D105</f>
        <v>3</v>
      </c>
      <c r="G15" s="23" t="str">
        <f>'DOCS OPS'!I105</f>
        <v>D1.3.2. Ocorrências relacionadas ao Sist. Prot. Área Operacional</v>
      </c>
      <c r="H15" s="24">
        <f>IF('DOCS OPS'!P109="-",0,IF('DOCS OPS'!P109="N/A",0,IF('DOCS OPS'!P109=0,"0",'DOCS OPS'!P109)))</f>
        <v>0</v>
      </c>
      <c r="I15" s="1"/>
      <c r="J15" s="1"/>
      <c r="K15" s="1"/>
      <c r="N15" s="21">
        <f>IF('DOCS OPS'!$O$109="N/A",0,$F15)</f>
        <v>3</v>
      </c>
    </row>
    <row r="16" spans="2:14" ht="13.5" customHeight="1">
      <c r="E16" s="1"/>
      <c r="F16" s="22">
        <f>'DOCS OPS'!D111</f>
        <v>1</v>
      </c>
      <c r="G16" s="23" t="str">
        <f>'DOCS OPS'!I111</f>
        <v>D1.3.3. Credenciamento</v>
      </c>
      <c r="H16" s="24">
        <f>IF('DOCS OPS'!P119="-",0,IF('DOCS OPS'!P119="N/A",0,IF('DOCS OPS'!P119=0,"0",'DOCS OPS'!P119)))</f>
        <v>0</v>
      </c>
      <c r="I16" s="1"/>
      <c r="J16" s="1"/>
      <c r="K16" s="1"/>
      <c r="N16" s="21">
        <f>IF('DOCS OPS'!$O$119="N/A",0,$F16)</f>
        <v>1</v>
      </c>
    </row>
    <row r="17" spans="5:14" ht="13.5" customHeight="1">
      <c r="E17" s="1"/>
      <c r="F17" s="22">
        <f>'DOCS OPS'!D123</f>
        <v>5</v>
      </c>
      <c r="G17" s="26" t="str">
        <f>'DOCS OPS'!I123</f>
        <v>D1.4. Runway Safety</v>
      </c>
      <c r="H17" s="50">
        <f>IFERROR((H18*N18+H19*N19+H20*N20+H21*N21+H22*N22+H23*N23)/SUM($N18:$N23),0)</f>
        <v>0</v>
      </c>
      <c r="I17" s="1"/>
      <c r="J17" s="1"/>
      <c r="K17" s="1"/>
      <c r="N17" s="21">
        <f>IF('DOCS OPS'!$O$133="N/A",0,$F17)</f>
        <v>5</v>
      </c>
    </row>
    <row r="18" spans="5:14" ht="13.5" customHeight="1">
      <c r="E18" s="1"/>
      <c r="F18" s="22">
        <f>'DOCS OPS'!D125</f>
        <v>5</v>
      </c>
      <c r="G18" s="23" t="str">
        <f>'DOCS OPS'!I125</f>
        <v>D1.4.1 Ocorrências de Incursão de Pista</v>
      </c>
      <c r="H18" s="24">
        <f>IF('DOCS OPS'!P133="-",0,IF('DOCS OPS'!P133="N/A",0,IF('DOCS OPS'!P133=0,"0",'DOCS OPS'!P133)))</f>
        <v>0</v>
      </c>
      <c r="I18" s="1"/>
      <c r="J18" s="1"/>
      <c r="K18" s="1"/>
      <c r="N18" s="21">
        <f>IF('DOCS OPS'!$O$133="N/A",0,$F18)</f>
        <v>5</v>
      </c>
    </row>
    <row r="19" spans="5:14" ht="13.5" customHeight="1">
      <c r="E19" s="1"/>
      <c r="F19" s="22">
        <f>'DOCS OPS'!D135</f>
        <v>3</v>
      </c>
      <c r="G19" s="23" t="str">
        <f>'DOCS OPS'!I135</f>
        <v xml:space="preserve">D1.4.2. Autoavaliação de Incursão em Pista </v>
      </c>
      <c r="H19" s="24">
        <f>IF('DOCS OPS'!P139="-",0,IF('DOCS OPS'!P139="N/A",0,IF('DOCS OPS'!P139=0,"0",'DOCS OPS'!P139)))</f>
        <v>0</v>
      </c>
      <c r="I19" s="1"/>
      <c r="J19" s="1"/>
      <c r="K19" s="1"/>
      <c r="N19" s="21">
        <f>IF('DOCS OPS'!$O$139="N/A",0,$F19)</f>
        <v>3</v>
      </c>
    </row>
    <row r="20" spans="5:14" ht="13.5" customHeight="1">
      <c r="E20" s="1"/>
      <c r="F20" s="22">
        <f>'DOCS OPS'!D141</f>
        <v>4</v>
      </c>
      <c r="G20" s="23" t="str">
        <f>'DOCS OPS'!I141</f>
        <v>D1.4.3. Comunicação</v>
      </c>
      <c r="H20" s="24">
        <f>IF('DOCS OPS'!P146="-",0,IF('DOCS OPS'!P146="N/A",0,IF('DOCS OPS'!P146=0,"0",'DOCS OPS'!P146)))</f>
        <v>0</v>
      </c>
      <c r="I20" s="1"/>
      <c r="J20" s="1"/>
      <c r="K20" s="1"/>
      <c r="N20" s="21">
        <f>IF('DOCS OPS'!$O$146="N/A",0,$F20)</f>
        <v>4</v>
      </c>
    </row>
    <row r="21" spans="5:14" ht="13.5" customHeight="1">
      <c r="E21" s="1"/>
      <c r="F21" s="22">
        <f>'DOCS OPS'!D148</f>
        <v>3</v>
      </c>
      <c r="G21" s="23" t="str">
        <f>'DOCS OPS'!I148</f>
        <v>D1.4.4. Acordo Operacional</v>
      </c>
      <c r="H21" s="24">
        <f>IF('DOCS OPS'!P152="-",0,IF('DOCS OPS'!P152="N/A",0,IF('DOCS OPS'!P152=0,"0",'DOCS OPS'!P152)))</f>
        <v>0</v>
      </c>
      <c r="I21" s="1"/>
      <c r="J21" s="1"/>
      <c r="K21" s="1"/>
      <c r="N21" s="21">
        <f>IF('DOCS OPS'!$O$152="N/A",0,$F21)</f>
        <v>3</v>
      </c>
    </row>
    <row r="22" spans="5:14" ht="13.5" customHeight="1">
      <c r="E22" s="1"/>
      <c r="F22" s="22">
        <f>'DOCS OPS'!D154</f>
        <v>3</v>
      </c>
      <c r="G22" s="23" t="str">
        <f>'DOCS OPS'!I154</f>
        <v>D1.4.5. Treinamento de motoristas</v>
      </c>
      <c r="H22" s="24">
        <f>IF('DOCS OPS'!P164="-",0,IF('DOCS OPS'!P164="N/A",0,IF('DOCS OPS'!P164=0,"0",'DOCS OPS'!P164)))</f>
        <v>0</v>
      </c>
      <c r="I22" s="1"/>
      <c r="J22" s="1"/>
      <c r="K22" s="1"/>
      <c r="N22" s="21">
        <f>IF('DOCS OPS'!$O$164="N/A",0,$F22)</f>
        <v>3</v>
      </c>
    </row>
    <row r="23" spans="5:14" ht="13.5" customHeight="1">
      <c r="E23" s="1"/>
      <c r="F23" s="22">
        <f>'DOCS OPS'!D166</f>
        <v>5</v>
      </c>
      <c r="G23" s="23" t="str">
        <f>'DOCS OPS'!I166</f>
        <v>D1.4.6. Runway Safety Team - RST</v>
      </c>
      <c r="H23" s="24">
        <f>IF('DOCS OPS'!P180="-",0,IF('DOCS OPS'!P180="N/A",0,IF('DOCS OPS'!P180=0,"0",'DOCS OPS'!P180)))</f>
        <v>0</v>
      </c>
      <c r="I23" s="1"/>
      <c r="J23" s="1"/>
      <c r="K23" s="1"/>
      <c r="N23" s="21">
        <f>IF('DOCS OPS'!$O$180="N/A",0,$F23)</f>
        <v>5</v>
      </c>
    </row>
    <row r="24" spans="5:14" ht="13.5" customHeight="1">
      <c r="E24" s="1"/>
      <c r="F24" s="19">
        <f>'DOCS OPS'!D184</f>
        <v>5</v>
      </c>
      <c r="G24" s="30" t="str">
        <f>'DOCS OPS'!I184</f>
        <v>D1.5. Monitoramento da Condição Física e Operacional</v>
      </c>
      <c r="H24" s="50">
        <f>IFERROR((H25*N25+H26*N26+H27*N27+H28*N28)/SUM($N25:$N28),0)</f>
        <v>0</v>
      </c>
      <c r="I24" s="1"/>
      <c r="J24" s="1"/>
      <c r="M24" s="20"/>
      <c r="N24" s="21">
        <f>IF('DOCS OPS'!$O$198="N/A",0,$F24)</f>
        <v>5</v>
      </c>
    </row>
    <row r="25" spans="5:14" ht="13.5" customHeight="1">
      <c r="E25" s="1"/>
      <c r="F25" s="22">
        <f>'DOCS OPS'!D186</f>
        <v>5</v>
      </c>
      <c r="G25" s="31" t="str">
        <f>'DOCS OPS'!I186</f>
        <v>D1.5.1.Monitoramento da área de movimento</v>
      </c>
      <c r="H25" s="24">
        <f>IF('DOCS OPS'!P198="-",0,IF('DOCS OPS'!P198="N/A",0,IF('DOCS OPS'!P198=0,"0",'DOCS OPS'!P198)))</f>
        <v>0</v>
      </c>
      <c r="I25" s="1"/>
      <c r="J25" s="1"/>
      <c r="K25" s="1"/>
      <c r="N25" s="21">
        <f>IF('DOCS OPS'!$O$198="N/A",0,$F25)</f>
        <v>5</v>
      </c>
    </row>
    <row r="26" spans="5:14" ht="13.5" customHeight="1">
      <c r="E26" s="1"/>
      <c r="F26" s="22">
        <f>'DOCS OPS'!D200</f>
        <v>3</v>
      </c>
      <c r="G26" s="31" t="str">
        <f>'DOCS OPS'!I200</f>
        <v>D1.5.2. Monitoramento de obstáculos</v>
      </c>
      <c r="H26" s="24">
        <f>IF('DOCS OPS'!P209="-",0,IF('DOCS OPS'!P209="N/A",0,IF('DOCS OPS'!P209=0,"0",'DOCS OPS'!P209)))</f>
        <v>0</v>
      </c>
      <c r="I26" s="1"/>
      <c r="J26" s="1"/>
      <c r="K26" s="1"/>
      <c r="N26" s="21">
        <f>IF('DOCS OPS'!$O$198="N/A",0,$F26)</f>
        <v>3</v>
      </c>
    </row>
    <row r="27" spans="5:14" ht="13.5" customHeight="1">
      <c r="E27" s="1"/>
      <c r="F27" s="22">
        <f>'DOCS OPS'!D211</f>
        <v>5</v>
      </c>
      <c r="G27" s="31" t="str">
        <f>'DOCS OPS'!I211</f>
        <v>D1.5.3. Monitoramento de pátio</v>
      </c>
      <c r="H27" s="24">
        <f>IF('DOCS OPS'!P218="-",0,IF('DOCS OPS'!P218="N/A",0,IF('DOCS OPS'!P218=0,"0",'DOCS OPS'!P218)))</f>
        <v>0</v>
      </c>
      <c r="I27" s="1"/>
      <c r="J27" s="1"/>
      <c r="K27" s="1"/>
      <c r="N27" s="21">
        <f>IF('DOCS OPS'!$O$198="N/A",0,$F27)</f>
        <v>5</v>
      </c>
    </row>
    <row r="28" spans="5:14" ht="13.5" customHeight="1">
      <c r="E28" s="1"/>
      <c r="F28" s="22">
        <f>'DOCS OPS'!D220</f>
        <v>3</v>
      </c>
      <c r="G28" s="31" t="str">
        <f>'DOCS OPS'!I220</f>
        <v>D1.5.4. Outros monitoramentos</v>
      </c>
      <c r="H28" s="24">
        <f>IF('DOCS OPS'!P225="-",0,IF('DOCS OPS'!P225="N/A",0,IF('DOCS OPS'!P225=0,"0",'DOCS OPS'!P225)))</f>
        <v>0</v>
      </c>
      <c r="I28" s="1"/>
      <c r="J28" s="1"/>
      <c r="K28" s="1"/>
      <c r="N28" s="21">
        <f>IF('DOCS OPS'!$O$198="N/A",0,$F28)</f>
        <v>3</v>
      </c>
    </row>
    <row r="29" spans="5:14" ht="13.5" customHeight="1">
      <c r="E29" s="1"/>
      <c r="F29" s="19">
        <f>'DOCS OPS'!D229</f>
        <v>3</v>
      </c>
      <c r="G29" s="26" t="str">
        <f>'DOCS OPS'!I229</f>
        <v>D1.6. Procedimentos e melhoria do SOCMS</v>
      </c>
      <c r="H29" s="50">
        <f>IFERROR((H30*N30+H31*N31+H32*N32)/SUM($N30:$N32),0)</f>
        <v>0</v>
      </c>
      <c r="I29" s="1"/>
      <c r="J29" s="1"/>
      <c r="K29" s="1"/>
      <c r="N29" s="21">
        <f>IF('DOCS OPS'!$O$241="N/A",0,$F29)</f>
        <v>3</v>
      </c>
    </row>
    <row r="30" spans="5:14" ht="13.5" customHeight="1">
      <c r="E30" s="1"/>
      <c r="F30" s="22">
        <f>'DOCS OPS'!D231</f>
        <v>3</v>
      </c>
      <c r="G30" s="23" t="str">
        <f>'DOCS OPS'!I231</f>
        <v>D1.6.1. Identificação dos Hot Spots</v>
      </c>
      <c r="H30" s="24">
        <f>IF('DOCS OPS'!P241="-",0,IF('DOCS OPS'!P241="N/A",0,IF('DOCS OPS'!P241=0,"0",'DOCS OPS'!P241)))</f>
        <v>0</v>
      </c>
      <c r="I30" s="1"/>
      <c r="J30" s="1"/>
      <c r="K30" s="1"/>
      <c r="N30" s="21">
        <f>IF('DOCS OPS'!$O$241="N/A",0,$F30)</f>
        <v>3</v>
      </c>
    </row>
    <row r="31" spans="5:14" ht="13.5" customHeight="1">
      <c r="E31" s="1"/>
      <c r="F31" s="22">
        <f>'DOCS OPS'!D243</f>
        <v>5</v>
      </c>
      <c r="G31" s="23" t="str">
        <f>'DOCS OPS'!I243</f>
        <v>D1.6.2 Operações em baixa visibilidade</v>
      </c>
      <c r="H31" s="24">
        <f>IF('DOCS OPS'!P251="-",0,IF('DOCS OPS'!P251="N/A",0,IF('DOCS OPS'!P251=0,"0",'DOCS OPS'!P251)))</f>
        <v>0</v>
      </c>
      <c r="I31" s="1"/>
      <c r="J31" s="1"/>
      <c r="K31" s="1"/>
      <c r="N31" s="21">
        <f>IF('DOCS OPS'!$O$251="N/A",0,$F31)</f>
        <v>5</v>
      </c>
    </row>
    <row r="32" spans="5:14" ht="13.5" customHeight="1">
      <c r="E32" s="1"/>
      <c r="F32" s="22">
        <f>'DOCS OPS'!D253</f>
        <v>3</v>
      </c>
      <c r="G32" s="23" t="str">
        <f>'DOCS OPS'!I253</f>
        <v>D1.6.3 Designações das pistas de táxi</v>
      </c>
      <c r="H32" s="24">
        <f>IF('DOCS OPS'!P257="-",0,IF('DOCS OPS'!P257="N/A",0,IF('DOCS OPS'!P257=0,"0",'DOCS OPS'!P257)))</f>
        <v>0</v>
      </c>
      <c r="I32" s="1"/>
      <c r="J32" s="1"/>
      <c r="K32" s="1"/>
      <c r="N32" s="21">
        <f>IF('DOCS OPS'!$O$257="N/A",0,$F32)</f>
        <v>3</v>
      </c>
    </row>
    <row r="33" spans="4:11" ht="13.5" customHeight="1">
      <c r="E33" s="1"/>
      <c r="F33" s="1"/>
      <c r="G33" s="36" t="s">
        <v>575</v>
      </c>
      <c r="H33" s="50">
        <f>IFERROR((H29*N29+H24*N24+H17*N17+H13*N13+H11*N11+H6*N6)/SUM(N6,N11,N13,N17,N24,N29),0)</f>
        <v>0</v>
      </c>
      <c r="I33" s="1"/>
      <c r="J33" s="1"/>
      <c r="K33" s="1"/>
    </row>
    <row r="34" spans="4:11" ht="13.5" customHeight="1">
      <c r="E34" s="1"/>
      <c r="F34" s="1"/>
      <c r="G34" s="36" t="s">
        <v>576</v>
      </c>
      <c r="H34" s="27" t="str">
        <f>IF(H33=0,"",IF(H33&lt;=0.799,"ACOP não concedido",IF(AND(H33&gt;=0.8,H33&lt;=0.8499),"ACOP D",IF(AND(H33&gt;=0.85,H33&lt;=0.8999),"ACOP C",IF(AND(H33&gt;=0.9,H33&lt;=0.9499),"ACOP B", "ACOP A")))))</f>
        <v/>
      </c>
      <c r="I34" s="1"/>
      <c r="J34" s="1"/>
      <c r="K34" s="1"/>
    </row>
    <row r="35" spans="4:11">
      <c r="D35" s="9"/>
    </row>
    <row r="36" spans="4:11">
      <c r="D36" s="9"/>
      <c r="I36" s="1"/>
    </row>
    <row r="40" spans="4:11">
      <c r="E40" s="1"/>
      <c r="I40" s="1"/>
    </row>
    <row r="41" spans="4:11">
      <c r="I41" s="1"/>
    </row>
    <row r="42" spans="4:11">
      <c r="I42" s="1"/>
    </row>
    <row r="43" spans="4:11">
      <c r="I43" s="1"/>
    </row>
    <row r="44" spans="4:11">
      <c r="I44" s="1"/>
    </row>
    <row r="45" spans="4:11">
      <c r="I45" s="1"/>
    </row>
    <row r="46" spans="4:11">
      <c r="I46" s="1"/>
    </row>
    <row r="83" ht="4.5" customHeight="1"/>
  </sheetData>
  <sheetProtection algorithmName="SHA-512" hashValue="lZm7QJfQfHAUMaXDf6aazO3gB9w3N5Nd/OGSWypUVyP7edXwIjyCIO0jkfCjiTFfQhfeM47h6GTQgqKDi9eqKQ==" saltValue="3+6eHvMzjtddNg8UoaTtXw==" spinCount="100000" sheet="1" objects="1" scenarios="1" selectLockedCells="1"/>
  <customSheetViews>
    <customSheetView guid="{D37F1B69-6CE7-4A90-8559-8AE519A5C1EC}" showPageBreaks="1" showGridLines="0" printArea="1" hiddenColumns="1" view="pageLayout">
      <selection activeCell="I24" sqref="I24"/>
      <pageMargins left="0" right="0" top="0" bottom="0" header="0" footer="0"/>
      <pageSetup paperSize="9" scale="76" orientation="portrait" r:id="rId1"/>
      <headerFooter>
        <oddHeader>&amp;C&amp;"-,Negrito"Superintendência de Infraestrutura Aeroportuária - SIA
Gerência de Certificação e Segurança Operacional - GCOP
Gerência Técnica de Infraestrutura e Operações Aeroportuárias - GTOP</oddHeader>
      </headerFooter>
    </customSheetView>
  </customSheetViews>
  <mergeCells count="3">
    <mergeCell ref="B2:L2"/>
    <mergeCell ref="F4:F5"/>
    <mergeCell ref="G4:G5"/>
  </mergeCells>
  <conditionalFormatting sqref="H6:H33">
    <cfRule type="cellIs" dxfId="0" priority="1" operator="equal">
      <formula>0</formula>
    </cfRule>
  </conditionalFormatting>
  <pageMargins left="0.511811024" right="0.511811024" top="0.8075" bottom="0.78740157499999996" header="0.31496062000000002" footer="0.31496062000000002"/>
  <pageSetup paperSize="9" scale="76" orientation="portrait" r:id="rId2"/>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22F-1F07-4D3C-B328-50DB383FEE7A}">
  <dimension ref="A1:D23"/>
  <sheetViews>
    <sheetView workbookViewId="0">
      <selection activeCell="B4" sqref="B4"/>
    </sheetView>
  </sheetViews>
  <sheetFormatPr defaultRowHeight="14.45"/>
  <cols>
    <col min="3" max="3" width="12.85546875" bestFit="1" customWidth="1"/>
  </cols>
  <sheetData>
    <row r="1" spans="1:4">
      <c r="A1" s="14" t="s">
        <v>577</v>
      </c>
      <c r="B1" s="15"/>
      <c r="C1" s="15"/>
    </row>
    <row r="2" spans="1:4">
      <c r="A2" s="4" t="s">
        <v>45</v>
      </c>
      <c r="B2" s="4"/>
      <c r="D2" s="4"/>
    </row>
    <row r="3" spans="1:4">
      <c r="A3" s="4"/>
      <c r="B3" s="6">
        <v>1E-4</v>
      </c>
      <c r="C3" s="4" t="s">
        <v>578</v>
      </c>
      <c r="D3" s="35">
        <v>0.01</v>
      </c>
    </row>
    <row r="4" spans="1:4">
      <c r="A4" s="4"/>
      <c r="B4" s="6">
        <v>1</v>
      </c>
      <c r="C4" s="4" t="s">
        <v>579</v>
      </c>
      <c r="D4" s="4">
        <v>1</v>
      </c>
    </row>
    <row r="5" spans="1:4">
      <c r="A5" s="4"/>
      <c r="B5" s="6">
        <v>0.95</v>
      </c>
      <c r="C5" s="4" t="s">
        <v>580</v>
      </c>
      <c r="D5" s="4">
        <v>3</v>
      </c>
    </row>
    <row r="6" spans="1:4">
      <c r="A6" s="4"/>
      <c r="B6" s="6">
        <v>0.9</v>
      </c>
      <c r="C6" s="4" t="s">
        <v>581</v>
      </c>
      <c r="D6" s="4">
        <v>7</v>
      </c>
    </row>
    <row r="7" spans="1:4">
      <c r="A7" s="4"/>
      <c r="B7" s="6">
        <v>0.85</v>
      </c>
      <c r="C7" s="4" t="s">
        <v>582</v>
      </c>
      <c r="D7" s="35">
        <v>10</v>
      </c>
    </row>
    <row r="8" spans="1:4">
      <c r="A8" s="4"/>
      <c r="B8" s="6">
        <v>0.8</v>
      </c>
    </row>
    <row r="9" spans="1:4">
      <c r="A9" s="4"/>
      <c r="B9" s="6">
        <v>0.75</v>
      </c>
    </row>
    <row r="10" spans="1:4">
      <c r="A10" s="4"/>
      <c r="B10" s="6">
        <v>0.7</v>
      </c>
    </row>
    <row r="11" spans="1:4">
      <c r="A11" s="4"/>
      <c r="B11" s="6">
        <v>0.65</v>
      </c>
    </row>
    <row r="12" spans="1:4">
      <c r="A12" s="4"/>
      <c r="B12" s="6">
        <v>0.6</v>
      </c>
    </row>
    <row r="13" spans="1:4">
      <c r="A13" s="4"/>
      <c r="B13" s="6">
        <v>0.55000000000000004</v>
      </c>
    </row>
    <row r="14" spans="1:4">
      <c r="A14" s="4"/>
      <c r="B14" s="6">
        <v>0.5</v>
      </c>
    </row>
    <row r="15" spans="1:4">
      <c r="A15" s="4"/>
      <c r="B15" s="6">
        <v>0.45</v>
      </c>
    </row>
    <row r="16" spans="1:4">
      <c r="A16" s="4"/>
      <c r="B16" s="6">
        <v>0.39999999999999902</v>
      </c>
    </row>
    <row r="17" spans="1:2">
      <c r="A17" s="4"/>
      <c r="B17" s="6">
        <v>0.34999999999999898</v>
      </c>
    </row>
    <row r="18" spans="1:2">
      <c r="A18" s="4"/>
      <c r="B18" s="6">
        <v>0.29999999999999899</v>
      </c>
    </row>
    <row r="19" spans="1:2">
      <c r="A19" s="4"/>
      <c r="B19" s="6">
        <v>0.249999999999999</v>
      </c>
    </row>
    <row r="20" spans="1:2">
      <c r="A20" s="4"/>
      <c r="B20" s="6">
        <v>0.19999999999999901</v>
      </c>
    </row>
    <row r="21" spans="1:2">
      <c r="A21" s="4"/>
      <c r="B21" s="6">
        <v>0.149999999999999</v>
      </c>
    </row>
    <row r="22" spans="1:2">
      <c r="A22" s="1"/>
      <c r="B22" s="6">
        <v>9.9999999999999006E-2</v>
      </c>
    </row>
    <row r="23" spans="1:2">
      <c r="A23" s="1"/>
      <c r="B23" s="6">
        <v>4.9999999999998997E-2</v>
      </c>
    </row>
  </sheetData>
  <customSheetViews>
    <customSheetView guid="{D37F1B69-6CE7-4A90-8559-8AE519A5C1EC}" state="hidden">
      <selection activeCell="D4" sqref="D4"/>
      <pageMargins left="0" right="0" top="0" bottom="0" header="0" footer="0"/>
    </customSheetView>
  </customSheetViews>
  <phoneticPr fontId="4"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DA3A83-FA51-41C1-AEEB-4DBB4D1EBD79}"/>
</file>

<file path=customXml/itemProps2.xml><?xml version="1.0" encoding="utf-8"?>
<ds:datastoreItem xmlns:ds="http://schemas.openxmlformats.org/officeDocument/2006/customXml" ds:itemID="{5B62D3FD-4170-41EE-8261-43CE56999A66}"/>
</file>

<file path=customXml/itemProps3.xml><?xml version="1.0" encoding="utf-8"?>
<ds:datastoreItem xmlns:ds="http://schemas.openxmlformats.org/officeDocument/2006/customXml" ds:itemID="{AC1E5780-44D3-436A-8E8C-FFE3A390241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Felipe Lopes Lindemann</cp:lastModifiedBy>
  <cp:revision/>
  <dcterms:created xsi:type="dcterms:W3CDTF">2023-02-25T22:08:42Z</dcterms:created>
  <dcterms:modified xsi:type="dcterms:W3CDTF">2025-02-26T17:37:06Z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